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Cogin - 2018-2019\Indicadores_COPE_COGIN\Indicadores_prontos_para_site\"/>
    </mc:Choice>
  </mc:AlternateContent>
  <bookViews>
    <workbookView xWindow="0" yWindow="0" windowWidth="24000" windowHeight="8835" firstSheet="3" activeTab="3"/>
  </bookViews>
  <sheets>
    <sheet name="controle" sheetId="4" state="hidden" r:id="rId1"/>
    <sheet name="dados" sheetId="1" state="hidden" r:id="rId2"/>
    <sheet name="dados_acumulados" sheetId="6" state="hidden" r:id="rId3"/>
    <sheet name="painel_indicadores" sheetId="3" r:id="rId4"/>
    <sheet name="indicadores" sheetId="5" r:id="rId5"/>
    <sheet name="dados_icms" sheetId="7" state="hidden" r:id="rId6"/>
    <sheet name="icms_acumulados" sheetId="8" state="hidden" r:id="rId7"/>
    <sheet name="painel_icms" sheetId="9" r:id="rId8"/>
    <sheet name="indicadores_icms" sheetId="10" r:id="rId9"/>
  </sheets>
  <definedNames>
    <definedName name="_xlnm._FilterDatabase" localSheetId="4" hidden="1">indicadores!$A$4:$E$308</definedName>
    <definedName name="lista_icms">controle!$E$3:$E$38</definedName>
    <definedName name="lista_ind">controle!$H$3:$H$266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0" l="1"/>
  <c r="E41" i="10"/>
  <c r="F41" i="10"/>
  <c r="G41" i="10"/>
  <c r="H41" i="10"/>
  <c r="I41" i="10"/>
  <c r="J41" i="10"/>
  <c r="K41" i="10"/>
  <c r="L41" i="10"/>
  <c r="M41" i="10"/>
  <c r="N41" i="10"/>
  <c r="O41" i="10"/>
  <c r="P41" i="10"/>
  <c r="Q41" i="10"/>
  <c r="R41" i="10"/>
  <c r="S41" i="10"/>
  <c r="T41" i="10"/>
  <c r="U41" i="10"/>
  <c r="V41" i="10"/>
  <c r="W41" i="10"/>
  <c r="X41" i="10"/>
  <c r="D40" i="10" l="1"/>
  <c r="E40" i="10"/>
  <c r="F40" i="10"/>
  <c r="G40" i="10"/>
  <c r="H40" i="10"/>
  <c r="I40" i="10"/>
  <c r="J40" i="10"/>
  <c r="K40" i="10"/>
  <c r="L40" i="10"/>
  <c r="M40" i="10"/>
  <c r="N40" i="10"/>
  <c r="O40" i="10"/>
  <c r="P40" i="10"/>
  <c r="Q40" i="10"/>
  <c r="R40" i="10"/>
  <c r="S40" i="10"/>
  <c r="T40" i="10"/>
  <c r="U40" i="10"/>
  <c r="V40" i="10"/>
  <c r="W40" i="10"/>
  <c r="X40" i="10"/>
  <c r="X38" i="7"/>
  <c r="A311" i="5"/>
  <c r="C311" i="5"/>
  <c r="D311" i="5"/>
  <c r="E311" i="5"/>
  <c r="A312" i="5"/>
  <c r="C312" i="5"/>
  <c r="D312" i="5"/>
  <c r="E312" i="5"/>
  <c r="D37" i="10" l="1"/>
  <c r="E37" i="10"/>
  <c r="F37" i="10"/>
  <c r="G37" i="10"/>
  <c r="H37" i="10"/>
  <c r="I37" i="10"/>
  <c r="J37" i="10"/>
  <c r="K37" i="10"/>
  <c r="L37" i="10"/>
  <c r="M37" i="10"/>
  <c r="N37" i="10"/>
  <c r="O37" i="10"/>
  <c r="P37" i="10"/>
  <c r="Q37" i="10"/>
  <c r="R37" i="10"/>
  <c r="S37" i="10"/>
  <c r="T37" i="10"/>
  <c r="U37" i="10"/>
  <c r="V37" i="10"/>
  <c r="W37" i="10"/>
  <c r="X37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P38" i="10"/>
  <c r="Q38" i="10"/>
  <c r="R38" i="10"/>
  <c r="S38" i="10"/>
  <c r="T38" i="10"/>
  <c r="U38" i="10"/>
  <c r="V38" i="10"/>
  <c r="W38" i="10"/>
  <c r="X38" i="10"/>
  <c r="D39" i="10"/>
  <c r="E39" i="10"/>
  <c r="F39" i="10"/>
  <c r="G39" i="10"/>
  <c r="H39" i="10"/>
  <c r="I39" i="10"/>
  <c r="J39" i="10"/>
  <c r="K39" i="10"/>
  <c r="L39" i="10"/>
  <c r="M39" i="10"/>
  <c r="N39" i="10"/>
  <c r="O39" i="10"/>
  <c r="P39" i="10"/>
  <c r="Q39" i="10"/>
  <c r="R39" i="10"/>
  <c r="S39" i="10"/>
  <c r="T39" i="10"/>
  <c r="U39" i="10"/>
  <c r="V39" i="10"/>
  <c r="W39" i="10"/>
  <c r="X39" i="10"/>
  <c r="X37" i="7" l="1"/>
  <c r="X36" i="7"/>
  <c r="X35" i="7"/>
  <c r="A309" i="5" l="1"/>
  <c r="C309" i="5"/>
  <c r="D309" i="5"/>
  <c r="E309" i="5"/>
  <c r="A310" i="5"/>
  <c r="C310" i="5"/>
  <c r="D310" i="5"/>
  <c r="E310" i="5"/>
  <c r="A265" i="6"/>
  <c r="B265" i="6"/>
  <c r="C265" i="6"/>
  <c r="D265" i="6"/>
  <c r="B265" i="1"/>
  <c r="A265" i="1" s="1"/>
  <c r="C265" i="1"/>
  <c r="B266" i="1"/>
  <c r="A266" i="1" s="1"/>
  <c r="C266" i="1"/>
  <c r="B267" i="1"/>
  <c r="A267" i="1" s="1"/>
  <c r="C267" i="1"/>
  <c r="B268" i="1"/>
  <c r="A268" i="1" s="1"/>
  <c r="C268" i="1"/>
  <c r="D58" i="10" l="1"/>
  <c r="D60" i="10" s="1"/>
  <c r="D57" i="10"/>
  <c r="T57" i="10" s="1"/>
  <c r="D56" i="10"/>
  <c r="D59" i="10" s="1"/>
  <c r="D46" i="10"/>
  <c r="D45" i="10"/>
  <c r="D44" i="10"/>
  <c r="A6" i="10"/>
  <c r="B6" i="10"/>
  <c r="C6" i="10"/>
  <c r="D6" i="10"/>
  <c r="E6" i="10"/>
  <c r="F6" i="10"/>
  <c r="G6" i="10"/>
  <c r="H6" i="10"/>
  <c r="I6" i="10"/>
  <c r="J6" i="10"/>
  <c r="K6" i="10"/>
  <c r="L6" i="10"/>
  <c r="M6" i="10"/>
  <c r="N6" i="10"/>
  <c r="O6" i="10"/>
  <c r="P6" i="10"/>
  <c r="Q6" i="10"/>
  <c r="R6" i="10"/>
  <c r="S6" i="10"/>
  <c r="T6" i="10"/>
  <c r="U6" i="10"/>
  <c r="V6" i="10"/>
  <c r="W6" i="10"/>
  <c r="X6" i="10"/>
  <c r="A7" i="10"/>
  <c r="B7" i="10"/>
  <c r="C7" i="10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V7" i="10"/>
  <c r="W7" i="10"/>
  <c r="X7" i="10"/>
  <c r="A8" i="10"/>
  <c r="B8" i="10"/>
  <c r="C8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R8" i="10"/>
  <c r="S8" i="10"/>
  <c r="T8" i="10"/>
  <c r="U8" i="10"/>
  <c r="V8" i="10"/>
  <c r="W8" i="10"/>
  <c r="X8" i="10"/>
  <c r="A9" i="10"/>
  <c r="B9" i="10"/>
  <c r="C9" i="10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U9" i="10"/>
  <c r="V9" i="10"/>
  <c r="W9" i="10"/>
  <c r="X9" i="10"/>
  <c r="A10" i="10"/>
  <c r="B10" i="10"/>
  <c r="C10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X10" i="10"/>
  <c r="A11" i="10"/>
  <c r="B11" i="10"/>
  <c r="C11" i="10"/>
  <c r="D11" i="10"/>
  <c r="E11" i="10"/>
  <c r="F11" i="10"/>
  <c r="G11" i="10"/>
  <c r="H11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U11" i="10"/>
  <c r="V11" i="10"/>
  <c r="W11" i="10"/>
  <c r="X11" i="10"/>
  <c r="A12" i="10"/>
  <c r="B12" i="10"/>
  <c r="C12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U12" i="10"/>
  <c r="V12" i="10"/>
  <c r="W12" i="10"/>
  <c r="X12" i="10"/>
  <c r="A13" i="10"/>
  <c r="B13" i="10"/>
  <c r="C13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A14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A15" i="10"/>
  <c r="B15" i="10"/>
  <c r="C15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R15" i="10"/>
  <c r="S15" i="10"/>
  <c r="T15" i="10"/>
  <c r="U15" i="10"/>
  <c r="V15" i="10"/>
  <c r="W15" i="10"/>
  <c r="X15" i="10"/>
  <c r="A16" i="10"/>
  <c r="B16" i="10"/>
  <c r="C16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V16" i="10"/>
  <c r="W16" i="10"/>
  <c r="X16" i="10"/>
  <c r="A17" i="10"/>
  <c r="B17" i="10"/>
  <c r="C17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R17" i="10"/>
  <c r="S17" i="10"/>
  <c r="T17" i="10"/>
  <c r="U17" i="10"/>
  <c r="V17" i="10"/>
  <c r="W17" i="10"/>
  <c r="X17" i="10"/>
  <c r="A18" i="10"/>
  <c r="B18" i="10"/>
  <c r="C18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A19" i="10"/>
  <c r="B19" i="10"/>
  <c r="C19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A20" i="10"/>
  <c r="B20" i="10"/>
  <c r="C20" i="10"/>
  <c r="D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V20" i="10"/>
  <c r="W20" i="10"/>
  <c r="X20" i="10"/>
  <c r="A21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A22" i="10"/>
  <c r="B22" i="10"/>
  <c r="C22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R22" i="10"/>
  <c r="S22" i="10"/>
  <c r="T22" i="10"/>
  <c r="U22" i="10"/>
  <c r="V22" i="10"/>
  <c r="W22" i="10"/>
  <c r="X22" i="10"/>
  <c r="A23" i="10"/>
  <c r="B23" i="10"/>
  <c r="C23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A24" i="10"/>
  <c r="B24" i="10"/>
  <c r="C24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P24" i="10"/>
  <c r="Q24" i="10"/>
  <c r="R24" i="10"/>
  <c r="S24" i="10"/>
  <c r="T24" i="10"/>
  <c r="U24" i="10"/>
  <c r="V24" i="10"/>
  <c r="W24" i="10"/>
  <c r="X24" i="10"/>
  <c r="A25" i="10"/>
  <c r="B25" i="10"/>
  <c r="C25" i="10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A26" i="10"/>
  <c r="B26" i="10"/>
  <c r="C26" i="10"/>
  <c r="D26" i="10"/>
  <c r="E26" i="10"/>
  <c r="F26" i="10"/>
  <c r="G26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A27" i="10"/>
  <c r="B27" i="10"/>
  <c r="C27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A28" i="10"/>
  <c r="B28" i="10"/>
  <c r="C28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A29" i="10"/>
  <c r="B29" i="10"/>
  <c r="C29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A30" i="10"/>
  <c r="B30" i="10"/>
  <c r="C30" i="10"/>
  <c r="D30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T30" i="10"/>
  <c r="U30" i="10"/>
  <c r="V30" i="10"/>
  <c r="W30" i="10"/>
  <c r="X30" i="10"/>
  <c r="A31" i="10"/>
  <c r="B31" i="10"/>
  <c r="C31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A32" i="10"/>
  <c r="B32" i="10"/>
  <c r="C32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P32" i="10"/>
  <c r="Q32" i="10"/>
  <c r="R32" i="10"/>
  <c r="S32" i="10"/>
  <c r="T32" i="10"/>
  <c r="U32" i="10"/>
  <c r="V32" i="10"/>
  <c r="W32" i="10"/>
  <c r="X32" i="10"/>
  <c r="A33" i="10"/>
  <c r="B33" i="10"/>
  <c r="C33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P33" i="10"/>
  <c r="Q33" i="10"/>
  <c r="R33" i="10"/>
  <c r="S33" i="10"/>
  <c r="T33" i="10"/>
  <c r="U33" i="10"/>
  <c r="V33" i="10"/>
  <c r="W33" i="10"/>
  <c r="X33" i="10"/>
  <c r="A34" i="10"/>
  <c r="B34" i="10"/>
  <c r="C34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S34" i="10"/>
  <c r="T34" i="10"/>
  <c r="U34" i="10"/>
  <c r="V34" i="10"/>
  <c r="W34" i="10"/>
  <c r="X34" i="10"/>
  <c r="A35" i="10"/>
  <c r="B35" i="10"/>
  <c r="C35" i="10"/>
  <c r="D35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S35" i="10"/>
  <c r="T35" i="10"/>
  <c r="U35" i="10"/>
  <c r="V35" i="10"/>
  <c r="W35" i="10"/>
  <c r="X35" i="10"/>
  <c r="A36" i="10"/>
  <c r="B36" i="10"/>
  <c r="C36" i="10"/>
  <c r="D36" i="10"/>
  <c r="E36" i="10"/>
  <c r="F36" i="10"/>
  <c r="G36" i="10"/>
  <c r="H36" i="10"/>
  <c r="I36" i="10"/>
  <c r="J36" i="10"/>
  <c r="K36" i="10"/>
  <c r="L36" i="10"/>
  <c r="M36" i="10"/>
  <c r="N36" i="10"/>
  <c r="O36" i="10"/>
  <c r="P36" i="10"/>
  <c r="Q36" i="10"/>
  <c r="R36" i="10"/>
  <c r="S36" i="10"/>
  <c r="T36" i="10"/>
  <c r="U36" i="10"/>
  <c r="V36" i="10"/>
  <c r="W36" i="10"/>
  <c r="X36" i="10"/>
  <c r="B26" i="9"/>
  <c r="B25" i="9"/>
  <c r="B24" i="9"/>
  <c r="B23" i="9"/>
  <c r="B22" i="9"/>
  <c r="B21" i="9"/>
  <c r="B20" i="9"/>
  <c r="B19" i="9"/>
  <c r="C18" i="9"/>
  <c r="G18" i="9" s="1"/>
  <c r="B18" i="9"/>
  <c r="B17" i="9"/>
  <c r="B16" i="9"/>
  <c r="B15" i="9"/>
  <c r="B14" i="9"/>
  <c r="B13" i="9"/>
  <c r="B12" i="9"/>
  <c r="B11" i="9"/>
  <c r="B10" i="9"/>
  <c r="B9" i="9"/>
  <c r="B8" i="9"/>
  <c r="B7" i="9"/>
  <c r="D6" i="9"/>
  <c r="C6" i="9"/>
  <c r="C23" i="9" s="1"/>
  <c r="B6" i="9"/>
  <c r="H5" i="9" s="1"/>
  <c r="I5" i="9"/>
  <c r="A40" i="8"/>
  <c r="B40" i="8"/>
  <c r="C40" i="8"/>
  <c r="D40" i="8"/>
  <c r="A41" i="8"/>
  <c r="B41" i="8"/>
  <c r="C41" i="8"/>
  <c r="D41" i="8"/>
  <c r="A42" i="8"/>
  <c r="B42" i="8"/>
  <c r="C42" i="8"/>
  <c r="D42" i="8"/>
  <c r="A43" i="8"/>
  <c r="B43" i="8"/>
  <c r="C43" i="8"/>
  <c r="D43" i="8"/>
  <c r="A44" i="8"/>
  <c r="B44" i="8"/>
  <c r="C44" i="8"/>
  <c r="D44" i="8"/>
  <c r="A45" i="8"/>
  <c r="B45" i="8"/>
  <c r="C45" i="8"/>
  <c r="D45" i="8"/>
  <c r="A46" i="8"/>
  <c r="B46" i="8"/>
  <c r="C46" i="8"/>
  <c r="D46" i="8"/>
  <c r="A47" i="8"/>
  <c r="B47" i="8"/>
  <c r="C47" i="8"/>
  <c r="D47" i="8"/>
  <c r="N33" i="8"/>
  <c r="R33" i="8"/>
  <c r="V33" i="8"/>
  <c r="F34" i="8"/>
  <c r="J34" i="8"/>
  <c r="N34" i="8"/>
  <c r="R34" i="8"/>
  <c r="V34" i="8"/>
  <c r="F35" i="8"/>
  <c r="J35" i="8"/>
  <c r="N35" i="8"/>
  <c r="R35" i="8"/>
  <c r="V35" i="8"/>
  <c r="F36" i="8"/>
  <c r="J36" i="8"/>
  <c r="N36" i="8"/>
  <c r="R36" i="8"/>
  <c r="U36" i="8"/>
  <c r="V36" i="8"/>
  <c r="X36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H4" i="8"/>
  <c r="I4" i="8"/>
  <c r="J4" i="8"/>
  <c r="K4" i="8"/>
  <c r="L4" i="8"/>
  <c r="M4" i="8"/>
  <c r="N4" i="8"/>
  <c r="O4" i="8"/>
  <c r="P4" i="8"/>
  <c r="Q4" i="8"/>
  <c r="R4" i="8"/>
  <c r="S4" i="8"/>
  <c r="T4" i="8"/>
  <c r="U4" i="8"/>
  <c r="V4" i="8"/>
  <c r="W4" i="8"/>
  <c r="X4" i="8"/>
  <c r="G4" i="8"/>
  <c r="F4" i="8"/>
  <c r="E4" i="8"/>
  <c r="A4" i="8"/>
  <c r="B4" i="8"/>
  <c r="C4" i="8"/>
  <c r="D4" i="8"/>
  <c r="A5" i="8"/>
  <c r="B5" i="8"/>
  <c r="C5" i="8"/>
  <c r="D5" i="8"/>
  <c r="A6" i="8"/>
  <c r="B6" i="8"/>
  <c r="C6" i="8"/>
  <c r="D6" i="8"/>
  <c r="A7" i="8"/>
  <c r="B7" i="8"/>
  <c r="C7" i="8"/>
  <c r="D7" i="8"/>
  <c r="A8" i="8"/>
  <c r="B8" i="8"/>
  <c r="C8" i="8"/>
  <c r="D8" i="8"/>
  <c r="A9" i="8"/>
  <c r="B9" i="8"/>
  <c r="C9" i="8"/>
  <c r="D9" i="8"/>
  <c r="A10" i="8"/>
  <c r="B10" i="8"/>
  <c r="C10" i="8"/>
  <c r="D10" i="8"/>
  <c r="A11" i="8"/>
  <c r="B11" i="8"/>
  <c r="C11" i="8"/>
  <c r="D11" i="8"/>
  <c r="A12" i="8"/>
  <c r="B12" i="8"/>
  <c r="C12" i="8"/>
  <c r="D12" i="8"/>
  <c r="A13" i="8"/>
  <c r="B13" i="8"/>
  <c r="C13" i="8"/>
  <c r="D13" i="8"/>
  <c r="A14" i="8"/>
  <c r="B14" i="8"/>
  <c r="C14" i="8"/>
  <c r="D14" i="8"/>
  <c r="A15" i="8"/>
  <c r="B15" i="8"/>
  <c r="C15" i="8"/>
  <c r="D15" i="8"/>
  <c r="A16" i="8"/>
  <c r="B16" i="8"/>
  <c r="C16" i="8"/>
  <c r="D16" i="8"/>
  <c r="A17" i="8"/>
  <c r="B17" i="8"/>
  <c r="C17" i="8"/>
  <c r="D17" i="8"/>
  <c r="A18" i="8"/>
  <c r="B18" i="8"/>
  <c r="C18" i="8"/>
  <c r="D18" i="8"/>
  <c r="A19" i="8"/>
  <c r="B19" i="8"/>
  <c r="C19" i="8"/>
  <c r="D19" i="8"/>
  <c r="A20" i="8"/>
  <c r="B20" i="8"/>
  <c r="C20" i="8"/>
  <c r="D20" i="8"/>
  <c r="A21" i="8"/>
  <c r="B21" i="8"/>
  <c r="C21" i="8"/>
  <c r="D21" i="8"/>
  <c r="A22" i="8"/>
  <c r="B22" i="8"/>
  <c r="C22" i="8"/>
  <c r="D22" i="8"/>
  <c r="A23" i="8"/>
  <c r="B23" i="8"/>
  <c r="C23" i="8"/>
  <c r="D23" i="8"/>
  <c r="A24" i="8"/>
  <c r="B24" i="8"/>
  <c r="C24" i="8"/>
  <c r="D24" i="8"/>
  <c r="A25" i="8"/>
  <c r="B25" i="8"/>
  <c r="C25" i="8"/>
  <c r="D25" i="8"/>
  <c r="A26" i="8"/>
  <c r="B26" i="8"/>
  <c r="C26" i="8"/>
  <c r="D26" i="8"/>
  <c r="A27" i="8"/>
  <c r="B27" i="8"/>
  <c r="C27" i="8"/>
  <c r="D27" i="8"/>
  <c r="A28" i="8"/>
  <c r="B28" i="8"/>
  <c r="C28" i="8"/>
  <c r="D28" i="8"/>
  <c r="A29" i="8"/>
  <c r="B29" i="8"/>
  <c r="C29" i="8"/>
  <c r="D29" i="8"/>
  <c r="A30" i="8"/>
  <c r="B30" i="8"/>
  <c r="C30" i="8"/>
  <c r="D30" i="8"/>
  <c r="A31" i="8"/>
  <c r="B31" i="8"/>
  <c r="C31" i="8"/>
  <c r="D31" i="8"/>
  <c r="A32" i="8"/>
  <c r="B32" i="8"/>
  <c r="C32" i="8"/>
  <c r="D32" i="8"/>
  <c r="A33" i="8"/>
  <c r="B33" i="8"/>
  <c r="C33" i="8"/>
  <c r="D33" i="8"/>
  <c r="A34" i="8"/>
  <c r="B34" i="8"/>
  <c r="C34" i="8"/>
  <c r="D34" i="8"/>
  <c r="A35" i="8"/>
  <c r="B35" i="8"/>
  <c r="C35" i="8"/>
  <c r="D35" i="8"/>
  <c r="A36" i="8"/>
  <c r="B36" i="8"/>
  <c r="C36" i="8"/>
  <c r="D36" i="8"/>
  <c r="A37" i="8"/>
  <c r="B37" i="8"/>
  <c r="C37" i="8"/>
  <c r="D37" i="8"/>
  <c r="A38" i="8"/>
  <c r="B38" i="8"/>
  <c r="C38" i="8"/>
  <c r="D38" i="8"/>
  <c r="A39" i="8"/>
  <c r="B39" i="8"/>
  <c r="C39" i="8"/>
  <c r="D39" i="8"/>
  <c r="B5" i="7"/>
  <c r="A5" i="7" s="1"/>
  <c r="C5" i="7"/>
  <c r="B6" i="7"/>
  <c r="A6" i="7" s="1"/>
  <c r="C6" i="7"/>
  <c r="A7" i="7"/>
  <c r="B7" i="7"/>
  <c r="C7" i="7"/>
  <c r="B8" i="7"/>
  <c r="A8" i="7" s="1"/>
  <c r="C8" i="7"/>
  <c r="B9" i="7"/>
  <c r="A9" i="7" s="1"/>
  <c r="C9" i="7"/>
  <c r="B10" i="7"/>
  <c r="A10" i="7" s="1"/>
  <c r="C10" i="7"/>
  <c r="A11" i="7"/>
  <c r="B11" i="7"/>
  <c r="C11" i="7"/>
  <c r="B12" i="7"/>
  <c r="A12" i="7" s="1"/>
  <c r="C12" i="7"/>
  <c r="B13" i="7"/>
  <c r="A13" i="7" s="1"/>
  <c r="C13" i="7"/>
  <c r="B14" i="7"/>
  <c r="A14" i="7" s="1"/>
  <c r="C14" i="7"/>
  <c r="A15" i="7"/>
  <c r="B15" i="7"/>
  <c r="C15" i="7"/>
  <c r="B16" i="7"/>
  <c r="A16" i="7" s="1"/>
  <c r="C16" i="7"/>
  <c r="B17" i="7"/>
  <c r="A17" i="7" s="1"/>
  <c r="C17" i="7"/>
  <c r="B18" i="7"/>
  <c r="A18" i="7" s="1"/>
  <c r="C18" i="7"/>
  <c r="A19" i="7"/>
  <c r="B19" i="7"/>
  <c r="C19" i="7"/>
  <c r="B20" i="7"/>
  <c r="A20" i="7" s="1"/>
  <c r="C20" i="7"/>
  <c r="B21" i="7"/>
  <c r="A21" i="7" s="1"/>
  <c r="C21" i="7"/>
  <c r="B22" i="7"/>
  <c r="A22" i="7" s="1"/>
  <c r="C22" i="7"/>
  <c r="A23" i="7"/>
  <c r="B23" i="7"/>
  <c r="C23" i="7"/>
  <c r="B24" i="7"/>
  <c r="A24" i="7" s="1"/>
  <c r="C24" i="7"/>
  <c r="B25" i="7"/>
  <c r="A25" i="7" s="1"/>
  <c r="C25" i="7"/>
  <c r="B26" i="7"/>
  <c r="A26" i="7" s="1"/>
  <c r="C26" i="7"/>
  <c r="A27" i="7"/>
  <c r="B27" i="7"/>
  <c r="C27" i="7"/>
  <c r="B28" i="7"/>
  <c r="A28" i="7" s="1"/>
  <c r="C28" i="7"/>
  <c r="B29" i="7"/>
  <c r="A29" i="7" s="1"/>
  <c r="C29" i="7"/>
  <c r="B30" i="7"/>
  <c r="A30" i="7" s="1"/>
  <c r="C30" i="7"/>
  <c r="A31" i="7"/>
  <c r="B31" i="7"/>
  <c r="C31" i="7"/>
  <c r="B32" i="7"/>
  <c r="A32" i="7" s="1"/>
  <c r="C32" i="7"/>
  <c r="B33" i="7"/>
  <c r="A33" i="7" s="1"/>
  <c r="C33" i="7"/>
  <c r="B34" i="7"/>
  <c r="A34" i="7" s="1"/>
  <c r="C34" i="7"/>
  <c r="A35" i="7"/>
  <c r="B35" i="7"/>
  <c r="C35" i="7"/>
  <c r="B36" i="7"/>
  <c r="A36" i="7" s="1"/>
  <c r="C36" i="7"/>
  <c r="B37" i="7"/>
  <c r="A37" i="7" s="1"/>
  <c r="C37" i="7"/>
  <c r="B38" i="7"/>
  <c r="A38" i="7" s="1"/>
  <c r="C38" i="7"/>
  <c r="A39" i="7"/>
  <c r="B39" i="7"/>
  <c r="C39" i="7"/>
  <c r="C4" i="7"/>
  <c r="B4" i="7"/>
  <c r="A4" i="7"/>
  <c r="E108" i="7"/>
  <c r="X34" i="7"/>
  <c r="X33" i="7"/>
  <c r="X32" i="7"/>
  <c r="X31" i="7"/>
  <c r="X30" i="7"/>
  <c r="X29" i="7"/>
  <c r="X28" i="7"/>
  <c r="X27" i="7"/>
  <c r="X26" i="7"/>
  <c r="X25" i="7"/>
  <c r="X24" i="7"/>
  <c r="X22" i="7"/>
  <c r="X21" i="7"/>
  <c r="X20" i="7"/>
  <c r="X19" i="7"/>
  <c r="X18" i="7"/>
  <c r="X17" i="7"/>
  <c r="X16" i="7"/>
  <c r="X15" i="7"/>
  <c r="X14" i="7"/>
  <c r="X13" i="7"/>
  <c r="X12" i="7"/>
  <c r="X11" i="7"/>
  <c r="X10" i="7"/>
  <c r="X9" i="7"/>
  <c r="X8" i="7"/>
  <c r="X7" i="7"/>
  <c r="X6" i="7"/>
  <c r="X5" i="7"/>
  <c r="X4" i="7"/>
  <c r="E12" i="9" l="1"/>
  <c r="E24" i="9"/>
  <c r="E8" i="9"/>
  <c r="E20" i="9"/>
  <c r="E16" i="9"/>
  <c r="G23" i="9"/>
  <c r="N58" i="10"/>
  <c r="V58" i="10"/>
  <c r="I58" i="10"/>
  <c r="J58" i="10"/>
  <c r="R58" i="10"/>
  <c r="Q58" i="10"/>
  <c r="M58" i="10"/>
  <c r="U58" i="10"/>
  <c r="Q59" i="10"/>
  <c r="M56" i="10"/>
  <c r="Q56" i="10"/>
  <c r="V59" i="10"/>
  <c r="R59" i="10"/>
  <c r="V56" i="10"/>
  <c r="H58" i="10"/>
  <c r="L58" i="10"/>
  <c r="P58" i="10"/>
  <c r="T58" i="10"/>
  <c r="H59" i="10"/>
  <c r="J59" i="10"/>
  <c r="S59" i="10"/>
  <c r="O59" i="10"/>
  <c r="L59" i="10"/>
  <c r="H56" i="10"/>
  <c r="L56" i="10"/>
  <c r="P56" i="10"/>
  <c r="T56" i="10"/>
  <c r="X56" i="10"/>
  <c r="W59" i="10"/>
  <c r="U59" i="10"/>
  <c r="I56" i="10"/>
  <c r="U56" i="10"/>
  <c r="T59" i="10"/>
  <c r="P59" i="10"/>
  <c r="J56" i="10"/>
  <c r="N56" i="10"/>
  <c r="R56" i="10"/>
  <c r="K58" i="10"/>
  <c r="O58" i="10"/>
  <c r="S58" i="10"/>
  <c r="W58" i="10"/>
  <c r="I59" i="10"/>
  <c r="K59" i="10"/>
  <c r="N59" i="10"/>
  <c r="M59" i="10"/>
  <c r="K56" i="10"/>
  <c r="O56" i="10"/>
  <c r="S56" i="10"/>
  <c r="W56" i="10"/>
  <c r="I57" i="10"/>
  <c r="M57" i="10"/>
  <c r="Q57" i="10"/>
  <c r="U57" i="10"/>
  <c r="X59" i="10"/>
  <c r="J57" i="10"/>
  <c r="N57" i="10"/>
  <c r="R57" i="10"/>
  <c r="V57" i="10"/>
  <c r="K57" i="10"/>
  <c r="O57" i="10"/>
  <c r="S57" i="10"/>
  <c r="W57" i="10"/>
  <c r="X57" i="10"/>
  <c r="H57" i="10"/>
  <c r="L57" i="10"/>
  <c r="P57" i="10"/>
  <c r="X58" i="10"/>
  <c r="C22" i="9"/>
  <c r="G22" i="9" s="1"/>
  <c r="C10" i="9"/>
  <c r="G10" i="9" s="1"/>
  <c r="C26" i="9"/>
  <c r="G26" i="9" s="1"/>
  <c r="C14" i="9"/>
  <c r="G14" i="9" s="1"/>
  <c r="F56" i="10"/>
  <c r="G57" i="10"/>
  <c r="E58" i="10"/>
  <c r="G56" i="10"/>
  <c r="E59" i="10"/>
  <c r="F58" i="10"/>
  <c r="E57" i="10"/>
  <c r="F59" i="10"/>
  <c r="G58" i="10"/>
  <c r="E56" i="10"/>
  <c r="F57" i="10"/>
  <c r="G59" i="10"/>
  <c r="D7" i="9"/>
  <c r="H7" i="9" s="1"/>
  <c r="D15" i="9"/>
  <c r="H15" i="9" s="1"/>
  <c r="D23" i="9"/>
  <c r="H23" i="9" s="1"/>
  <c r="C9" i="9"/>
  <c r="G9" i="9" s="1"/>
  <c r="D10" i="9"/>
  <c r="H10" i="9" s="1"/>
  <c r="C13" i="9"/>
  <c r="G13" i="9" s="1"/>
  <c r="D14" i="9"/>
  <c r="H14" i="9" s="1"/>
  <c r="C17" i="9"/>
  <c r="G17" i="9" s="1"/>
  <c r="D18" i="9"/>
  <c r="H18" i="9" s="1"/>
  <c r="C21" i="9"/>
  <c r="G21" i="9" s="1"/>
  <c r="D22" i="9"/>
  <c r="H22" i="9" s="1"/>
  <c r="C25" i="9"/>
  <c r="G25" i="9" s="1"/>
  <c r="D26" i="9"/>
  <c r="D19" i="9"/>
  <c r="H19" i="9" s="1"/>
  <c r="C8" i="9"/>
  <c r="G8" i="9" s="1"/>
  <c r="D9" i="9"/>
  <c r="H9" i="9" s="1"/>
  <c r="C12" i="9"/>
  <c r="G12" i="9" s="1"/>
  <c r="D13" i="9"/>
  <c r="H13" i="9" s="1"/>
  <c r="C16" i="9"/>
  <c r="G16" i="9" s="1"/>
  <c r="D17" i="9"/>
  <c r="H17" i="9" s="1"/>
  <c r="C20" i="9"/>
  <c r="G20" i="9" s="1"/>
  <c r="D21" i="9"/>
  <c r="H21" i="9" s="1"/>
  <c r="C24" i="9"/>
  <c r="G24" i="9" s="1"/>
  <c r="D25" i="9"/>
  <c r="H25" i="9" s="1"/>
  <c r="H26" i="9"/>
  <c r="D11" i="9"/>
  <c r="H11" i="9" s="1"/>
  <c r="C7" i="9"/>
  <c r="G7" i="9" s="1"/>
  <c r="D8" i="9"/>
  <c r="H8" i="9" s="1"/>
  <c r="C11" i="9"/>
  <c r="G11" i="9" s="1"/>
  <c r="D12" i="9"/>
  <c r="H12" i="9" s="1"/>
  <c r="C15" i="9"/>
  <c r="G15" i="9" s="1"/>
  <c r="D16" i="9"/>
  <c r="H16" i="9" s="1"/>
  <c r="C19" i="9"/>
  <c r="G19" i="9" s="1"/>
  <c r="D20" i="9"/>
  <c r="H20" i="9" s="1"/>
  <c r="D24" i="9"/>
  <c r="H24" i="9" s="1"/>
  <c r="G5" i="9"/>
  <c r="E6" i="9"/>
  <c r="F6" i="9"/>
  <c r="H36" i="8"/>
  <c r="L36" i="8"/>
  <c r="P36" i="8"/>
  <c r="T36" i="8"/>
  <c r="E36" i="8"/>
  <c r="I36" i="8"/>
  <c r="M36" i="8"/>
  <c r="Q36" i="8"/>
  <c r="G36" i="8"/>
  <c r="K36" i="8"/>
  <c r="O36" i="8"/>
  <c r="S36" i="8"/>
  <c r="W36" i="8"/>
  <c r="H35" i="8"/>
  <c r="L35" i="8"/>
  <c r="P35" i="8"/>
  <c r="T35" i="8"/>
  <c r="X35" i="8"/>
  <c r="E35" i="8"/>
  <c r="I35" i="8"/>
  <c r="M35" i="8"/>
  <c r="Q35" i="8"/>
  <c r="U35" i="8"/>
  <c r="G35" i="8"/>
  <c r="K35" i="8"/>
  <c r="O35" i="8"/>
  <c r="S35" i="8"/>
  <c r="W35" i="8"/>
  <c r="H34" i="8"/>
  <c r="E10" i="9" s="1"/>
  <c r="L34" i="8"/>
  <c r="E14" i="9" s="1"/>
  <c r="P34" i="8"/>
  <c r="E18" i="9" s="1"/>
  <c r="T34" i="8"/>
  <c r="E22" i="9" s="1"/>
  <c r="X34" i="8"/>
  <c r="E26" i="9" s="1"/>
  <c r="E34" i="8"/>
  <c r="E7" i="9" s="1"/>
  <c r="I34" i="8"/>
  <c r="E11" i="9" s="1"/>
  <c r="M34" i="8"/>
  <c r="E15" i="9" s="1"/>
  <c r="Q34" i="8"/>
  <c r="E19" i="9" s="1"/>
  <c r="U34" i="8"/>
  <c r="E23" i="9" s="1"/>
  <c r="G34" i="8"/>
  <c r="E9" i="9" s="1"/>
  <c r="K34" i="8"/>
  <c r="E13" i="9" s="1"/>
  <c r="O34" i="8"/>
  <c r="E17" i="9" s="1"/>
  <c r="S34" i="8"/>
  <c r="E21" i="9" s="1"/>
  <c r="W34" i="8"/>
  <c r="E25" i="9" s="1"/>
  <c r="H33" i="8"/>
  <c r="L33" i="8"/>
  <c r="P33" i="8"/>
  <c r="T33" i="8"/>
  <c r="X33" i="8"/>
  <c r="E33" i="8"/>
  <c r="I33" i="8"/>
  <c r="M33" i="8"/>
  <c r="Q33" i="8"/>
  <c r="U33" i="8"/>
  <c r="F33" i="8"/>
  <c r="J33" i="8"/>
  <c r="G33" i="8"/>
  <c r="K33" i="8"/>
  <c r="O33" i="8"/>
  <c r="S33" i="8"/>
  <c r="W33" i="8"/>
  <c r="H32" i="8"/>
  <c r="L32" i="8"/>
  <c r="P32" i="8"/>
  <c r="T32" i="8"/>
  <c r="X32" i="8"/>
  <c r="E32" i="8"/>
  <c r="I32" i="8"/>
  <c r="M32" i="8"/>
  <c r="Q32" i="8"/>
  <c r="U32" i="8"/>
  <c r="F32" i="8"/>
  <c r="J32" i="8"/>
  <c r="N32" i="8"/>
  <c r="R32" i="8"/>
  <c r="V32" i="8"/>
  <c r="G32" i="8"/>
  <c r="K32" i="8"/>
  <c r="O32" i="8"/>
  <c r="S32" i="8"/>
  <c r="W32" i="8"/>
  <c r="H31" i="8"/>
  <c r="L31" i="8"/>
  <c r="P31" i="8"/>
  <c r="T31" i="8"/>
  <c r="X31" i="8"/>
  <c r="E31" i="8"/>
  <c r="I31" i="8"/>
  <c r="M31" i="8"/>
  <c r="Q31" i="8"/>
  <c r="U31" i="8"/>
  <c r="F31" i="8"/>
  <c r="J31" i="8"/>
  <c r="N31" i="8"/>
  <c r="R31" i="8"/>
  <c r="V31" i="8"/>
  <c r="G31" i="8"/>
  <c r="K31" i="8"/>
  <c r="O31" i="8"/>
  <c r="S31" i="8"/>
  <c r="W31" i="8"/>
  <c r="H30" i="8"/>
  <c r="L30" i="8"/>
  <c r="P30" i="8"/>
  <c r="T30" i="8"/>
  <c r="X30" i="8"/>
  <c r="E30" i="8"/>
  <c r="I30" i="8"/>
  <c r="M30" i="8"/>
  <c r="Q30" i="8"/>
  <c r="U30" i="8"/>
  <c r="F30" i="8"/>
  <c r="J30" i="8"/>
  <c r="N30" i="8"/>
  <c r="R30" i="8"/>
  <c r="V30" i="8"/>
  <c r="G30" i="8"/>
  <c r="K30" i="8"/>
  <c r="O30" i="8"/>
  <c r="S30" i="8"/>
  <c r="W30" i="8"/>
  <c r="H29" i="8"/>
  <c r="L29" i="8"/>
  <c r="P29" i="8"/>
  <c r="T29" i="8"/>
  <c r="X29" i="8"/>
  <c r="E29" i="8"/>
  <c r="I29" i="8"/>
  <c r="M29" i="8"/>
  <c r="Q29" i="8"/>
  <c r="U29" i="8"/>
  <c r="F29" i="8"/>
  <c r="J29" i="8"/>
  <c r="N29" i="8"/>
  <c r="R29" i="8"/>
  <c r="V29" i="8"/>
  <c r="G29" i="8"/>
  <c r="K29" i="8"/>
  <c r="O29" i="8"/>
  <c r="S29" i="8"/>
  <c r="W29" i="8"/>
  <c r="H28" i="8"/>
  <c r="L28" i="8"/>
  <c r="P28" i="8"/>
  <c r="T28" i="8"/>
  <c r="X28" i="8"/>
  <c r="E28" i="8"/>
  <c r="I28" i="8"/>
  <c r="M28" i="8"/>
  <c r="Q28" i="8"/>
  <c r="U28" i="8"/>
  <c r="F28" i="8"/>
  <c r="J28" i="8"/>
  <c r="N28" i="8"/>
  <c r="R28" i="8"/>
  <c r="V28" i="8"/>
  <c r="G28" i="8"/>
  <c r="K28" i="8"/>
  <c r="O28" i="8"/>
  <c r="S28" i="8"/>
  <c r="W28" i="8"/>
  <c r="H27" i="8"/>
  <c r="L27" i="8"/>
  <c r="P27" i="8"/>
  <c r="T27" i="8"/>
  <c r="X27" i="8"/>
  <c r="E27" i="8"/>
  <c r="I27" i="8"/>
  <c r="M27" i="8"/>
  <c r="Q27" i="8"/>
  <c r="U27" i="8"/>
  <c r="F27" i="8"/>
  <c r="J27" i="8"/>
  <c r="N27" i="8"/>
  <c r="R27" i="8"/>
  <c r="V27" i="8"/>
  <c r="G27" i="8"/>
  <c r="K27" i="8"/>
  <c r="O27" i="8"/>
  <c r="S27" i="8"/>
  <c r="W27" i="8"/>
  <c r="H26" i="8"/>
  <c r="L26" i="8"/>
  <c r="P26" i="8"/>
  <c r="T26" i="8"/>
  <c r="X26" i="8"/>
  <c r="E26" i="8"/>
  <c r="I26" i="8"/>
  <c r="M26" i="8"/>
  <c r="Q26" i="8"/>
  <c r="U26" i="8"/>
  <c r="F26" i="8"/>
  <c r="J26" i="8"/>
  <c r="N26" i="8"/>
  <c r="R26" i="8"/>
  <c r="V26" i="8"/>
  <c r="G26" i="8"/>
  <c r="K26" i="8"/>
  <c r="O26" i="8"/>
  <c r="S26" i="8"/>
  <c r="W26" i="8"/>
  <c r="H25" i="8"/>
  <c r="F10" i="9" s="1"/>
  <c r="L25" i="8"/>
  <c r="L60" i="10" s="1"/>
  <c r="P25" i="8"/>
  <c r="P60" i="10" s="1"/>
  <c r="T25" i="8"/>
  <c r="F22" i="9" s="1"/>
  <c r="I22" i="9" s="1"/>
  <c r="X25" i="8"/>
  <c r="X60" i="10" s="1"/>
  <c r="E25" i="8"/>
  <c r="F7" i="9" s="1"/>
  <c r="I25" i="8"/>
  <c r="F11" i="9" s="1"/>
  <c r="M25" i="8"/>
  <c r="M60" i="10" s="1"/>
  <c r="Q25" i="8"/>
  <c r="F19" i="9" s="1"/>
  <c r="U25" i="8"/>
  <c r="U60" i="10" s="1"/>
  <c r="F25" i="8"/>
  <c r="F8" i="9" s="1"/>
  <c r="J25" i="8"/>
  <c r="J60" i="10" s="1"/>
  <c r="N25" i="8"/>
  <c r="N60" i="10" s="1"/>
  <c r="R25" i="8"/>
  <c r="F20" i="9" s="1"/>
  <c r="I20" i="9" s="1"/>
  <c r="V25" i="8"/>
  <c r="V60" i="10" s="1"/>
  <c r="G25" i="8"/>
  <c r="F9" i="9" s="1"/>
  <c r="K25" i="8"/>
  <c r="K60" i="10" s="1"/>
  <c r="O25" i="8"/>
  <c r="O60" i="10" s="1"/>
  <c r="S25" i="8"/>
  <c r="S60" i="10" s="1"/>
  <c r="W25" i="8"/>
  <c r="F25" i="9" s="1"/>
  <c r="H24" i="8"/>
  <c r="L24" i="8"/>
  <c r="P24" i="8"/>
  <c r="T24" i="8"/>
  <c r="X24" i="8"/>
  <c r="E24" i="8"/>
  <c r="I24" i="8"/>
  <c r="M24" i="8"/>
  <c r="Q24" i="8"/>
  <c r="U24" i="8"/>
  <c r="F24" i="8"/>
  <c r="J24" i="8"/>
  <c r="N24" i="8"/>
  <c r="R24" i="8"/>
  <c r="V24" i="8"/>
  <c r="G24" i="8"/>
  <c r="K24" i="8"/>
  <c r="O24" i="8"/>
  <c r="S24" i="8"/>
  <c r="W24" i="8"/>
  <c r="H23" i="8"/>
  <c r="L23" i="8"/>
  <c r="P23" i="8"/>
  <c r="T23" i="8"/>
  <c r="X23" i="8"/>
  <c r="E23" i="8"/>
  <c r="I23" i="8"/>
  <c r="M23" i="8"/>
  <c r="Q23" i="8"/>
  <c r="U23" i="8"/>
  <c r="F23" i="8"/>
  <c r="J23" i="8"/>
  <c r="N23" i="8"/>
  <c r="R23" i="8"/>
  <c r="V23" i="8"/>
  <c r="G23" i="8"/>
  <c r="K23" i="8"/>
  <c r="O23" i="8"/>
  <c r="S23" i="8"/>
  <c r="W23" i="8"/>
  <c r="H22" i="8"/>
  <c r="L22" i="8"/>
  <c r="P22" i="8"/>
  <c r="T22" i="8"/>
  <c r="X22" i="8"/>
  <c r="E22" i="8"/>
  <c r="I22" i="8"/>
  <c r="M22" i="8"/>
  <c r="Q22" i="8"/>
  <c r="U22" i="8"/>
  <c r="F22" i="8"/>
  <c r="J22" i="8"/>
  <c r="N22" i="8"/>
  <c r="R22" i="8"/>
  <c r="V22" i="8"/>
  <c r="G22" i="8"/>
  <c r="K22" i="8"/>
  <c r="O22" i="8"/>
  <c r="S22" i="8"/>
  <c r="W22" i="8"/>
  <c r="G21" i="8"/>
  <c r="M21" i="8"/>
  <c r="R21" i="8"/>
  <c r="W21" i="8"/>
  <c r="I21" i="8"/>
  <c r="N21" i="8"/>
  <c r="S21" i="8"/>
  <c r="E21" i="8"/>
  <c r="J21" i="8"/>
  <c r="O21" i="8"/>
  <c r="U21" i="8"/>
  <c r="F21" i="8"/>
  <c r="K21" i="8"/>
  <c r="Q21" i="8"/>
  <c r="V21" i="8"/>
  <c r="K20" i="8"/>
  <c r="Q20" i="8"/>
  <c r="V20" i="8"/>
  <c r="F20" i="8"/>
  <c r="M20" i="8"/>
  <c r="R20" i="8"/>
  <c r="W20" i="8"/>
  <c r="G20" i="8"/>
  <c r="N20" i="8"/>
  <c r="S20" i="8"/>
  <c r="J20" i="8"/>
  <c r="O20" i="8"/>
  <c r="U20" i="8"/>
  <c r="J19" i="8"/>
  <c r="W19" i="8"/>
  <c r="N19" i="8"/>
  <c r="R19" i="8"/>
  <c r="F19" i="8"/>
  <c r="V19" i="8"/>
  <c r="N18" i="8"/>
  <c r="R18" i="8"/>
  <c r="F18" i="8"/>
  <c r="V18" i="8"/>
  <c r="J18" i="8"/>
  <c r="R17" i="8"/>
  <c r="V17" i="8"/>
  <c r="H21" i="8"/>
  <c r="L21" i="8"/>
  <c r="P21" i="8"/>
  <c r="T21" i="8"/>
  <c r="X21" i="8"/>
  <c r="E20" i="8"/>
  <c r="I20" i="8"/>
  <c r="H20" i="8"/>
  <c r="L20" i="8"/>
  <c r="P20" i="8"/>
  <c r="T20" i="8"/>
  <c r="X20" i="8"/>
  <c r="E19" i="8"/>
  <c r="I19" i="8"/>
  <c r="M19" i="8"/>
  <c r="Q19" i="8"/>
  <c r="U19" i="8"/>
  <c r="G19" i="8"/>
  <c r="K19" i="8"/>
  <c r="O19" i="8"/>
  <c r="S19" i="8"/>
  <c r="H19" i="8"/>
  <c r="L19" i="8"/>
  <c r="P19" i="8"/>
  <c r="T19" i="8"/>
  <c r="X19" i="8"/>
  <c r="E18" i="8"/>
  <c r="I18" i="8"/>
  <c r="M18" i="8"/>
  <c r="Q18" i="8"/>
  <c r="U18" i="8"/>
  <c r="G18" i="8"/>
  <c r="K18" i="8"/>
  <c r="O18" i="8"/>
  <c r="S18" i="8"/>
  <c r="W18" i="8"/>
  <c r="H18" i="8"/>
  <c r="L18" i="8"/>
  <c r="P18" i="8"/>
  <c r="T18" i="8"/>
  <c r="X18" i="8"/>
  <c r="E17" i="8"/>
  <c r="I17" i="8"/>
  <c r="M17" i="8"/>
  <c r="Q17" i="8"/>
  <c r="U17" i="8"/>
  <c r="F17" i="8"/>
  <c r="J17" i="8"/>
  <c r="N17" i="8"/>
  <c r="G17" i="8"/>
  <c r="K17" i="8"/>
  <c r="O17" i="8"/>
  <c r="S17" i="8"/>
  <c r="W17" i="8"/>
  <c r="H17" i="8"/>
  <c r="L17" i="8"/>
  <c r="P17" i="8"/>
  <c r="T17" i="8"/>
  <c r="X17" i="8"/>
  <c r="E16" i="8"/>
  <c r="I16" i="8"/>
  <c r="M16" i="8"/>
  <c r="Q16" i="8"/>
  <c r="U16" i="8"/>
  <c r="F16" i="8"/>
  <c r="J16" i="8"/>
  <c r="N16" i="8"/>
  <c r="R16" i="8"/>
  <c r="V16" i="8"/>
  <c r="G16" i="8"/>
  <c r="K16" i="8"/>
  <c r="O16" i="8"/>
  <c r="S16" i="8"/>
  <c r="W16" i="8"/>
  <c r="H16" i="8"/>
  <c r="L16" i="8"/>
  <c r="P16" i="8"/>
  <c r="T16" i="8"/>
  <c r="X16" i="8"/>
  <c r="E15" i="8"/>
  <c r="I15" i="8"/>
  <c r="M15" i="8"/>
  <c r="Q15" i="8"/>
  <c r="U15" i="8"/>
  <c r="F15" i="8"/>
  <c r="J15" i="8"/>
  <c r="N15" i="8"/>
  <c r="R15" i="8"/>
  <c r="V15" i="8"/>
  <c r="G15" i="8"/>
  <c r="K15" i="8"/>
  <c r="O15" i="8"/>
  <c r="S15" i="8"/>
  <c r="W15" i="8"/>
  <c r="H15" i="8"/>
  <c r="L15" i="8"/>
  <c r="P15" i="8"/>
  <c r="T15" i="8"/>
  <c r="X15" i="8"/>
  <c r="E14" i="8"/>
  <c r="I14" i="8"/>
  <c r="M14" i="8"/>
  <c r="Q14" i="8"/>
  <c r="U14" i="8"/>
  <c r="F14" i="8"/>
  <c r="J14" i="8"/>
  <c r="N14" i="8"/>
  <c r="R14" i="8"/>
  <c r="V14" i="8"/>
  <c r="G14" i="8"/>
  <c r="K14" i="8"/>
  <c r="O14" i="8"/>
  <c r="S14" i="8"/>
  <c r="W14" i="8"/>
  <c r="H14" i="8"/>
  <c r="L14" i="8"/>
  <c r="P14" i="8"/>
  <c r="T14" i="8"/>
  <c r="X14" i="8"/>
  <c r="E13" i="8"/>
  <c r="I13" i="8"/>
  <c r="M13" i="8"/>
  <c r="Q13" i="8"/>
  <c r="U13" i="8"/>
  <c r="F13" i="8"/>
  <c r="J13" i="8"/>
  <c r="N13" i="8"/>
  <c r="R13" i="8"/>
  <c r="V13" i="8"/>
  <c r="G13" i="8"/>
  <c r="K13" i="8"/>
  <c r="O13" i="8"/>
  <c r="S13" i="8"/>
  <c r="W13" i="8"/>
  <c r="H13" i="8"/>
  <c r="L13" i="8"/>
  <c r="P13" i="8"/>
  <c r="T13" i="8"/>
  <c r="X13" i="8"/>
  <c r="E12" i="8"/>
  <c r="I12" i="8"/>
  <c r="M12" i="8"/>
  <c r="Q12" i="8"/>
  <c r="U12" i="8"/>
  <c r="F12" i="8"/>
  <c r="J12" i="8"/>
  <c r="N12" i="8"/>
  <c r="R12" i="8"/>
  <c r="V12" i="8"/>
  <c r="G12" i="8"/>
  <c r="K12" i="8"/>
  <c r="O12" i="8"/>
  <c r="S12" i="8"/>
  <c r="W12" i="8"/>
  <c r="H12" i="8"/>
  <c r="L12" i="8"/>
  <c r="P12" i="8"/>
  <c r="T12" i="8"/>
  <c r="X12" i="8"/>
  <c r="E11" i="8"/>
  <c r="I11" i="8"/>
  <c r="M11" i="8"/>
  <c r="Q11" i="8"/>
  <c r="U11" i="8"/>
  <c r="F11" i="8"/>
  <c r="J11" i="8"/>
  <c r="N11" i="8"/>
  <c r="R11" i="8"/>
  <c r="V11" i="8"/>
  <c r="G11" i="8"/>
  <c r="K11" i="8"/>
  <c r="O11" i="8"/>
  <c r="S11" i="8"/>
  <c r="W11" i="8"/>
  <c r="H11" i="8"/>
  <c r="L11" i="8"/>
  <c r="P11" i="8"/>
  <c r="T11" i="8"/>
  <c r="X11" i="8"/>
  <c r="E10" i="8"/>
  <c r="I10" i="8"/>
  <c r="M10" i="8"/>
  <c r="Q10" i="8"/>
  <c r="U10" i="8"/>
  <c r="F10" i="8"/>
  <c r="J10" i="8"/>
  <c r="N10" i="8"/>
  <c r="R10" i="8"/>
  <c r="V10" i="8"/>
  <c r="G10" i="8"/>
  <c r="K10" i="8"/>
  <c r="O10" i="8"/>
  <c r="S10" i="8"/>
  <c r="W10" i="8"/>
  <c r="H10" i="8"/>
  <c r="L10" i="8"/>
  <c r="P10" i="8"/>
  <c r="T10" i="8"/>
  <c r="X10" i="8"/>
  <c r="E9" i="8"/>
  <c r="I9" i="8"/>
  <c r="M9" i="8"/>
  <c r="Q9" i="8"/>
  <c r="U9" i="8"/>
  <c r="F9" i="8"/>
  <c r="J9" i="8"/>
  <c r="N9" i="8"/>
  <c r="R9" i="8"/>
  <c r="V9" i="8"/>
  <c r="G9" i="8"/>
  <c r="K9" i="8"/>
  <c r="O9" i="8"/>
  <c r="S9" i="8"/>
  <c r="W9" i="8"/>
  <c r="H9" i="8"/>
  <c r="L9" i="8"/>
  <c r="P9" i="8"/>
  <c r="T9" i="8"/>
  <c r="X9" i="8"/>
  <c r="E8" i="8"/>
  <c r="I8" i="8"/>
  <c r="M8" i="8"/>
  <c r="Q8" i="8"/>
  <c r="U8" i="8"/>
  <c r="F8" i="8"/>
  <c r="J8" i="8"/>
  <c r="N8" i="8"/>
  <c r="R8" i="8"/>
  <c r="V8" i="8"/>
  <c r="G8" i="8"/>
  <c r="K8" i="8"/>
  <c r="O8" i="8"/>
  <c r="S8" i="8"/>
  <c r="W8" i="8"/>
  <c r="H8" i="8"/>
  <c r="L8" i="8"/>
  <c r="P8" i="8"/>
  <c r="T8" i="8"/>
  <c r="X8" i="8"/>
  <c r="E7" i="8"/>
  <c r="I7" i="8"/>
  <c r="M7" i="8"/>
  <c r="Q7" i="8"/>
  <c r="U7" i="8"/>
  <c r="F7" i="8"/>
  <c r="J7" i="8"/>
  <c r="N7" i="8"/>
  <c r="R7" i="8"/>
  <c r="V7" i="8"/>
  <c r="G7" i="8"/>
  <c r="K7" i="8"/>
  <c r="O7" i="8"/>
  <c r="S7" i="8"/>
  <c r="W7" i="8"/>
  <c r="H7" i="8"/>
  <c r="L7" i="8"/>
  <c r="P7" i="8"/>
  <c r="T7" i="8"/>
  <c r="X7" i="8"/>
  <c r="E6" i="8"/>
  <c r="I6" i="8"/>
  <c r="M6" i="8"/>
  <c r="Q6" i="8"/>
  <c r="U6" i="8"/>
  <c r="F6" i="8"/>
  <c r="J6" i="8"/>
  <c r="N6" i="8"/>
  <c r="R6" i="8"/>
  <c r="V6" i="8"/>
  <c r="G6" i="8"/>
  <c r="K6" i="8"/>
  <c r="O6" i="8"/>
  <c r="S6" i="8"/>
  <c r="W6" i="8"/>
  <c r="H6" i="8"/>
  <c r="L6" i="8"/>
  <c r="P6" i="8"/>
  <c r="T6" i="8"/>
  <c r="X6" i="8"/>
  <c r="E5" i="8"/>
  <c r="I5" i="8"/>
  <c r="M5" i="8"/>
  <c r="Q5" i="8"/>
  <c r="U5" i="8"/>
  <c r="F5" i="8"/>
  <c r="J5" i="8"/>
  <c r="N5" i="8"/>
  <c r="R5" i="8"/>
  <c r="V5" i="8"/>
  <c r="G5" i="8"/>
  <c r="K5" i="8"/>
  <c r="O5" i="8"/>
  <c r="S5" i="8"/>
  <c r="W5" i="8"/>
  <c r="H5" i="8"/>
  <c r="L5" i="8"/>
  <c r="P5" i="8"/>
  <c r="T5" i="8"/>
  <c r="X5" i="8"/>
  <c r="I8" i="9" l="1"/>
  <c r="I25" i="9"/>
  <c r="I7" i="9"/>
  <c r="F16" i="9"/>
  <c r="I16" i="9" s="1"/>
  <c r="F23" i="9"/>
  <c r="I23" i="9" s="1"/>
  <c r="F15" i="9"/>
  <c r="I15" i="9" s="1"/>
  <c r="F18" i="9"/>
  <c r="I18" i="9" s="1"/>
  <c r="G60" i="10"/>
  <c r="G46" i="10" s="1"/>
  <c r="F60" i="10"/>
  <c r="F46" i="10" s="1"/>
  <c r="E60" i="10"/>
  <c r="E46" i="10" s="1"/>
  <c r="R60" i="10"/>
  <c r="R46" i="10" s="1"/>
  <c r="W60" i="10"/>
  <c r="W46" i="10" s="1"/>
  <c r="I60" i="10"/>
  <c r="I46" i="10" s="1"/>
  <c r="H60" i="10"/>
  <c r="H46" i="10" s="1"/>
  <c r="I10" i="9"/>
  <c r="F24" i="9"/>
  <c r="I24" i="9" s="1"/>
  <c r="F12" i="9"/>
  <c r="I12" i="9" s="1"/>
  <c r="F21" i="9"/>
  <c r="F13" i="9"/>
  <c r="I13" i="9" s="1"/>
  <c r="F14" i="9"/>
  <c r="I14" i="9" s="1"/>
  <c r="T60" i="10"/>
  <c r="T46" i="10" s="1"/>
  <c r="Q60" i="10"/>
  <c r="Q46" i="10" s="1"/>
  <c r="F17" i="9"/>
  <c r="I17" i="9" s="1"/>
  <c r="F26" i="9"/>
  <c r="I26" i="9" s="1"/>
  <c r="K46" i="10"/>
  <c r="N46" i="10"/>
  <c r="S46" i="10"/>
  <c r="I9" i="9"/>
  <c r="I21" i="9"/>
  <c r="I19" i="9"/>
  <c r="I11" i="9"/>
  <c r="L46" i="10"/>
  <c r="J46" i="10"/>
  <c r="G45" i="10"/>
  <c r="G44" i="10"/>
  <c r="T45" i="10"/>
  <c r="T44" i="10"/>
  <c r="E44" i="10"/>
  <c r="E45" i="10"/>
  <c r="U46" i="10"/>
  <c r="O46" i="10"/>
  <c r="S45" i="10"/>
  <c r="S44" i="10"/>
  <c r="N44" i="10"/>
  <c r="N45" i="10"/>
  <c r="U45" i="10"/>
  <c r="U44" i="10"/>
  <c r="X45" i="10"/>
  <c r="X44" i="10"/>
  <c r="H45" i="10"/>
  <c r="H44" i="10"/>
  <c r="Q44" i="10"/>
  <c r="Q45" i="10"/>
  <c r="J44" i="10"/>
  <c r="J45" i="10"/>
  <c r="I44" i="10"/>
  <c r="I45" i="10"/>
  <c r="V44" i="10"/>
  <c r="V45" i="10"/>
  <c r="M45" i="10"/>
  <c r="M44" i="10"/>
  <c r="F44" i="10"/>
  <c r="F45" i="10"/>
  <c r="O45" i="10"/>
  <c r="O44" i="10"/>
  <c r="X46" i="10"/>
  <c r="K45" i="10"/>
  <c r="K44" i="10"/>
  <c r="P46" i="10"/>
  <c r="P45" i="10"/>
  <c r="P44" i="10"/>
  <c r="W45" i="10"/>
  <c r="W44" i="10"/>
  <c r="M46" i="10"/>
  <c r="R44" i="10"/>
  <c r="R45" i="10"/>
  <c r="L44" i="10"/>
  <c r="L45" i="10"/>
  <c r="V46" i="10"/>
  <c r="A329" i="5" l="1"/>
  <c r="A331" i="5" s="1"/>
  <c r="A328" i="5"/>
  <c r="A327" i="5"/>
  <c r="A330" i="5" s="1"/>
  <c r="A317" i="5"/>
  <c r="A316" i="5"/>
  <c r="A315" i="5"/>
  <c r="C301" i="5"/>
  <c r="D301" i="5"/>
  <c r="E301" i="5"/>
  <c r="C302" i="5"/>
  <c r="D302" i="5"/>
  <c r="E302" i="5"/>
  <c r="C303" i="5"/>
  <c r="D303" i="5"/>
  <c r="E303" i="5"/>
  <c r="C304" i="5"/>
  <c r="D304" i="5"/>
  <c r="E304" i="5"/>
  <c r="C305" i="5"/>
  <c r="D305" i="5"/>
  <c r="E305" i="5"/>
  <c r="C306" i="5"/>
  <c r="D306" i="5"/>
  <c r="E306" i="5"/>
  <c r="C307" i="5"/>
  <c r="D307" i="5"/>
  <c r="E307" i="5"/>
  <c r="C308" i="5"/>
  <c r="D308" i="5"/>
  <c r="E308" i="5"/>
  <c r="E298" i="5"/>
  <c r="D298" i="5"/>
  <c r="C298" i="5"/>
  <c r="E297" i="5"/>
  <c r="D297" i="5"/>
  <c r="C297" i="5"/>
  <c r="E296" i="5"/>
  <c r="D296" i="5"/>
  <c r="C296" i="5"/>
  <c r="E295" i="5"/>
  <c r="D295" i="5"/>
  <c r="C295" i="5"/>
  <c r="E294" i="5"/>
  <c r="D294" i="5"/>
  <c r="C294" i="5"/>
  <c r="E293" i="5"/>
  <c r="D293" i="5"/>
  <c r="C293" i="5"/>
  <c r="E292" i="5"/>
  <c r="D292" i="5"/>
  <c r="C292" i="5"/>
  <c r="E291" i="5"/>
  <c r="D291" i="5"/>
  <c r="C291" i="5"/>
  <c r="E290" i="5"/>
  <c r="D290" i="5"/>
  <c r="C290" i="5"/>
  <c r="E289" i="5"/>
  <c r="D289" i="5"/>
  <c r="C289" i="5"/>
  <c r="E288" i="5"/>
  <c r="D288" i="5"/>
  <c r="C288" i="5"/>
  <c r="E287" i="5"/>
  <c r="D287" i="5"/>
  <c r="C287" i="5"/>
  <c r="E284" i="5"/>
  <c r="D284" i="5"/>
  <c r="C284" i="5"/>
  <c r="E283" i="5"/>
  <c r="D283" i="5"/>
  <c r="C283" i="5"/>
  <c r="E282" i="5"/>
  <c r="D282" i="5"/>
  <c r="C282" i="5"/>
  <c r="E281" i="5"/>
  <c r="D281" i="5"/>
  <c r="C281" i="5"/>
  <c r="E280" i="5"/>
  <c r="D280" i="5"/>
  <c r="C280" i="5"/>
  <c r="E279" i="5"/>
  <c r="D279" i="5"/>
  <c r="C279" i="5"/>
  <c r="E278" i="5"/>
  <c r="D278" i="5"/>
  <c r="C278" i="5"/>
  <c r="E277" i="5"/>
  <c r="D277" i="5"/>
  <c r="C277" i="5"/>
  <c r="E276" i="5"/>
  <c r="D276" i="5"/>
  <c r="C276" i="5"/>
  <c r="E275" i="5"/>
  <c r="D275" i="5"/>
  <c r="C275" i="5"/>
  <c r="E274" i="5"/>
  <c r="D274" i="5"/>
  <c r="C274" i="5"/>
  <c r="E273" i="5"/>
  <c r="D273" i="5"/>
  <c r="C273" i="5"/>
  <c r="E270" i="5"/>
  <c r="D270" i="5"/>
  <c r="C270" i="5"/>
  <c r="E269" i="5"/>
  <c r="D269" i="5"/>
  <c r="C269" i="5"/>
  <c r="E268" i="5"/>
  <c r="D268" i="5"/>
  <c r="C268" i="5"/>
  <c r="E267" i="5"/>
  <c r="D267" i="5"/>
  <c r="C267" i="5"/>
  <c r="E266" i="5"/>
  <c r="D266" i="5"/>
  <c r="C266" i="5"/>
  <c r="E265" i="5"/>
  <c r="D265" i="5"/>
  <c r="C265" i="5"/>
  <c r="E264" i="5"/>
  <c r="D264" i="5"/>
  <c r="C264" i="5"/>
  <c r="E263" i="5"/>
  <c r="D263" i="5"/>
  <c r="C263" i="5"/>
  <c r="E262" i="5"/>
  <c r="D262" i="5"/>
  <c r="C262" i="5"/>
  <c r="E261" i="5"/>
  <c r="D261" i="5"/>
  <c r="C261" i="5"/>
  <c r="E260" i="5"/>
  <c r="D260" i="5"/>
  <c r="C260" i="5"/>
  <c r="E259" i="5"/>
  <c r="D259" i="5"/>
  <c r="C259" i="5"/>
  <c r="E256" i="5"/>
  <c r="D256" i="5"/>
  <c r="C256" i="5"/>
  <c r="E255" i="5"/>
  <c r="D255" i="5"/>
  <c r="C255" i="5"/>
  <c r="E254" i="5"/>
  <c r="D254" i="5"/>
  <c r="C254" i="5"/>
  <c r="E253" i="5"/>
  <c r="D253" i="5"/>
  <c r="C253" i="5"/>
  <c r="E252" i="5"/>
  <c r="D252" i="5"/>
  <c r="C252" i="5"/>
  <c r="E251" i="5"/>
  <c r="D251" i="5"/>
  <c r="C251" i="5"/>
  <c r="E250" i="5"/>
  <c r="D250" i="5"/>
  <c r="C250" i="5"/>
  <c r="E249" i="5"/>
  <c r="D249" i="5"/>
  <c r="C249" i="5"/>
  <c r="E248" i="5"/>
  <c r="D248" i="5"/>
  <c r="C248" i="5"/>
  <c r="E247" i="5"/>
  <c r="D247" i="5"/>
  <c r="C247" i="5"/>
  <c r="E246" i="5"/>
  <c r="D246" i="5"/>
  <c r="C246" i="5"/>
  <c r="E245" i="5"/>
  <c r="D245" i="5"/>
  <c r="C245" i="5"/>
  <c r="E242" i="5"/>
  <c r="D242" i="5"/>
  <c r="C242" i="5"/>
  <c r="E241" i="5"/>
  <c r="D241" i="5"/>
  <c r="C241" i="5"/>
  <c r="E240" i="5"/>
  <c r="D240" i="5"/>
  <c r="C240" i="5"/>
  <c r="E239" i="5"/>
  <c r="D239" i="5"/>
  <c r="C239" i="5"/>
  <c r="E238" i="5"/>
  <c r="D238" i="5"/>
  <c r="C238" i="5"/>
  <c r="E237" i="5"/>
  <c r="D237" i="5"/>
  <c r="C237" i="5"/>
  <c r="E236" i="5"/>
  <c r="D236" i="5"/>
  <c r="C236" i="5"/>
  <c r="E235" i="5"/>
  <c r="D235" i="5"/>
  <c r="C235" i="5"/>
  <c r="E234" i="5"/>
  <c r="D234" i="5"/>
  <c r="C234" i="5"/>
  <c r="E233" i="5"/>
  <c r="D233" i="5"/>
  <c r="C233" i="5"/>
  <c r="E232" i="5"/>
  <c r="D232" i="5"/>
  <c r="C232" i="5"/>
  <c r="E231" i="5"/>
  <c r="D231" i="5"/>
  <c r="C231" i="5"/>
  <c r="E228" i="5"/>
  <c r="D228" i="5"/>
  <c r="C228" i="5"/>
  <c r="E227" i="5"/>
  <c r="D227" i="5"/>
  <c r="C227" i="5"/>
  <c r="E226" i="5"/>
  <c r="D226" i="5"/>
  <c r="C226" i="5"/>
  <c r="E225" i="5"/>
  <c r="D225" i="5"/>
  <c r="C225" i="5"/>
  <c r="E224" i="5"/>
  <c r="D224" i="5"/>
  <c r="C224" i="5"/>
  <c r="E223" i="5"/>
  <c r="D223" i="5"/>
  <c r="C223" i="5"/>
  <c r="E222" i="5"/>
  <c r="D222" i="5"/>
  <c r="C222" i="5"/>
  <c r="E221" i="5"/>
  <c r="D221" i="5"/>
  <c r="C221" i="5"/>
  <c r="E220" i="5"/>
  <c r="D220" i="5"/>
  <c r="C220" i="5"/>
  <c r="E219" i="5"/>
  <c r="D219" i="5"/>
  <c r="C219" i="5"/>
  <c r="E218" i="5"/>
  <c r="D218" i="5"/>
  <c r="C218" i="5"/>
  <c r="E217" i="5"/>
  <c r="D217" i="5"/>
  <c r="C217" i="5"/>
  <c r="E214" i="5"/>
  <c r="D214" i="5"/>
  <c r="C214" i="5"/>
  <c r="E213" i="5"/>
  <c r="D213" i="5"/>
  <c r="C213" i="5"/>
  <c r="E212" i="5"/>
  <c r="D212" i="5"/>
  <c r="C212" i="5"/>
  <c r="E211" i="5"/>
  <c r="D211" i="5"/>
  <c r="C211" i="5"/>
  <c r="E210" i="5"/>
  <c r="D210" i="5"/>
  <c r="C210" i="5"/>
  <c r="E209" i="5"/>
  <c r="D209" i="5"/>
  <c r="C209" i="5"/>
  <c r="E208" i="5"/>
  <c r="D208" i="5"/>
  <c r="C208" i="5"/>
  <c r="E207" i="5"/>
  <c r="D207" i="5"/>
  <c r="C207" i="5"/>
  <c r="E206" i="5"/>
  <c r="D206" i="5"/>
  <c r="C206" i="5"/>
  <c r="E205" i="5"/>
  <c r="D205" i="5"/>
  <c r="C205" i="5"/>
  <c r="E204" i="5"/>
  <c r="D204" i="5"/>
  <c r="C204" i="5"/>
  <c r="E203" i="5"/>
  <c r="D203" i="5"/>
  <c r="C203" i="5"/>
  <c r="E200" i="5"/>
  <c r="D200" i="5"/>
  <c r="C200" i="5"/>
  <c r="E199" i="5"/>
  <c r="D199" i="5"/>
  <c r="C199" i="5"/>
  <c r="E198" i="5"/>
  <c r="D198" i="5"/>
  <c r="C198" i="5"/>
  <c r="E197" i="5"/>
  <c r="D197" i="5"/>
  <c r="C197" i="5"/>
  <c r="E196" i="5"/>
  <c r="D196" i="5"/>
  <c r="C196" i="5"/>
  <c r="E195" i="5"/>
  <c r="D195" i="5"/>
  <c r="C195" i="5"/>
  <c r="E194" i="5"/>
  <c r="D194" i="5"/>
  <c r="C194" i="5"/>
  <c r="E193" i="5"/>
  <c r="D193" i="5"/>
  <c r="C193" i="5"/>
  <c r="E192" i="5"/>
  <c r="D192" i="5"/>
  <c r="C192" i="5"/>
  <c r="E191" i="5"/>
  <c r="D191" i="5"/>
  <c r="C191" i="5"/>
  <c r="E190" i="5"/>
  <c r="D190" i="5"/>
  <c r="C190" i="5"/>
  <c r="E189" i="5"/>
  <c r="D189" i="5"/>
  <c r="C189" i="5"/>
  <c r="E186" i="5"/>
  <c r="D186" i="5"/>
  <c r="C186" i="5"/>
  <c r="E185" i="5"/>
  <c r="D185" i="5"/>
  <c r="C185" i="5"/>
  <c r="E184" i="5"/>
  <c r="D184" i="5"/>
  <c r="C184" i="5"/>
  <c r="E183" i="5"/>
  <c r="D183" i="5"/>
  <c r="C183" i="5"/>
  <c r="E182" i="5"/>
  <c r="D182" i="5"/>
  <c r="C182" i="5"/>
  <c r="E181" i="5"/>
  <c r="D181" i="5"/>
  <c r="C181" i="5"/>
  <c r="E180" i="5"/>
  <c r="D180" i="5"/>
  <c r="C180" i="5"/>
  <c r="E179" i="5"/>
  <c r="D179" i="5"/>
  <c r="C179" i="5"/>
  <c r="E178" i="5"/>
  <c r="D178" i="5"/>
  <c r="C178" i="5"/>
  <c r="E177" i="5"/>
  <c r="D177" i="5"/>
  <c r="C177" i="5"/>
  <c r="E176" i="5"/>
  <c r="D176" i="5"/>
  <c r="C176" i="5"/>
  <c r="E175" i="5"/>
  <c r="D175" i="5"/>
  <c r="C175" i="5"/>
  <c r="E172" i="5"/>
  <c r="D172" i="5"/>
  <c r="C172" i="5"/>
  <c r="E171" i="5"/>
  <c r="D171" i="5"/>
  <c r="C171" i="5"/>
  <c r="E170" i="5"/>
  <c r="D170" i="5"/>
  <c r="C170" i="5"/>
  <c r="E169" i="5"/>
  <c r="D169" i="5"/>
  <c r="C169" i="5"/>
  <c r="E168" i="5"/>
  <c r="D168" i="5"/>
  <c r="C168" i="5"/>
  <c r="E167" i="5"/>
  <c r="D167" i="5"/>
  <c r="C167" i="5"/>
  <c r="E166" i="5"/>
  <c r="D166" i="5"/>
  <c r="C166" i="5"/>
  <c r="E165" i="5"/>
  <c r="D165" i="5"/>
  <c r="C165" i="5"/>
  <c r="E164" i="5"/>
  <c r="D164" i="5"/>
  <c r="C164" i="5"/>
  <c r="E163" i="5"/>
  <c r="D163" i="5"/>
  <c r="C163" i="5"/>
  <c r="E162" i="5"/>
  <c r="D162" i="5"/>
  <c r="C162" i="5"/>
  <c r="E161" i="5"/>
  <c r="D161" i="5"/>
  <c r="C161" i="5"/>
  <c r="E158" i="5"/>
  <c r="D158" i="5"/>
  <c r="C158" i="5"/>
  <c r="E157" i="5"/>
  <c r="D157" i="5"/>
  <c r="C157" i="5"/>
  <c r="E156" i="5"/>
  <c r="D156" i="5"/>
  <c r="C156" i="5"/>
  <c r="E155" i="5"/>
  <c r="D155" i="5"/>
  <c r="C155" i="5"/>
  <c r="E154" i="5"/>
  <c r="D154" i="5"/>
  <c r="C154" i="5"/>
  <c r="E153" i="5"/>
  <c r="D153" i="5"/>
  <c r="C153" i="5"/>
  <c r="E152" i="5"/>
  <c r="D152" i="5"/>
  <c r="C152" i="5"/>
  <c r="E151" i="5"/>
  <c r="D151" i="5"/>
  <c r="C151" i="5"/>
  <c r="E150" i="5"/>
  <c r="D150" i="5"/>
  <c r="C150" i="5"/>
  <c r="E149" i="5"/>
  <c r="D149" i="5"/>
  <c r="C149" i="5"/>
  <c r="E148" i="5"/>
  <c r="D148" i="5"/>
  <c r="C148" i="5"/>
  <c r="E147" i="5"/>
  <c r="D147" i="5"/>
  <c r="C147" i="5"/>
  <c r="E144" i="5"/>
  <c r="D144" i="5"/>
  <c r="C144" i="5"/>
  <c r="E143" i="5"/>
  <c r="D143" i="5"/>
  <c r="C143" i="5"/>
  <c r="E142" i="5"/>
  <c r="D142" i="5"/>
  <c r="C142" i="5"/>
  <c r="E141" i="5"/>
  <c r="D141" i="5"/>
  <c r="C141" i="5"/>
  <c r="E140" i="5"/>
  <c r="D140" i="5"/>
  <c r="C140" i="5"/>
  <c r="E139" i="5"/>
  <c r="D139" i="5"/>
  <c r="C139" i="5"/>
  <c r="E138" i="5"/>
  <c r="D138" i="5"/>
  <c r="C138" i="5"/>
  <c r="E137" i="5"/>
  <c r="D137" i="5"/>
  <c r="C137" i="5"/>
  <c r="E136" i="5"/>
  <c r="D136" i="5"/>
  <c r="C136" i="5"/>
  <c r="E135" i="5"/>
  <c r="D135" i="5"/>
  <c r="C135" i="5"/>
  <c r="E134" i="5"/>
  <c r="D134" i="5"/>
  <c r="C134" i="5"/>
  <c r="E133" i="5"/>
  <c r="D133" i="5"/>
  <c r="C133" i="5"/>
  <c r="E130" i="5"/>
  <c r="D130" i="5"/>
  <c r="C130" i="5"/>
  <c r="E129" i="5"/>
  <c r="D129" i="5"/>
  <c r="C129" i="5"/>
  <c r="E128" i="5"/>
  <c r="D128" i="5"/>
  <c r="C128" i="5"/>
  <c r="E127" i="5"/>
  <c r="D127" i="5"/>
  <c r="C127" i="5"/>
  <c r="E126" i="5"/>
  <c r="D126" i="5"/>
  <c r="C126" i="5"/>
  <c r="E125" i="5"/>
  <c r="D125" i="5"/>
  <c r="C125" i="5"/>
  <c r="E124" i="5"/>
  <c r="D124" i="5"/>
  <c r="C124" i="5"/>
  <c r="E123" i="5"/>
  <c r="D123" i="5"/>
  <c r="C123" i="5"/>
  <c r="E122" i="5"/>
  <c r="D122" i="5"/>
  <c r="C122" i="5"/>
  <c r="E121" i="5"/>
  <c r="D121" i="5"/>
  <c r="C121" i="5"/>
  <c r="E120" i="5"/>
  <c r="D120" i="5"/>
  <c r="C120" i="5"/>
  <c r="E119" i="5"/>
  <c r="D119" i="5"/>
  <c r="C119" i="5"/>
  <c r="E116" i="5"/>
  <c r="D116" i="5"/>
  <c r="C116" i="5"/>
  <c r="E115" i="5"/>
  <c r="D115" i="5"/>
  <c r="C115" i="5"/>
  <c r="E114" i="5"/>
  <c r="D114" i="5"/>
  <c r="C114" i="5"/>
  <c r="E113" i="5"/>
  <c r="D113" i="5"/>
  <c r="C113" i="5"/>
  <c r="E112" i="5"/>
  <c r="D112" i="5"/>
  <c r="C112" i="5"/>
  <c r="E111" i="5"/>
  <c r="D111" i="5"/>
  <c r="C111" i="5"/>
  <c r="E110" i="5"/>
  <c r="D110" i="5"/>
  <c r="C110" i="5"/>
  <c r="E109" i="5"/>
  <c r="D109" i="5"/>
  <c r="C109" i="5"/>
  <c r="E108" i="5"/>
  <c r="D108" i="5"/>
  <c r="C108" i="5"/>
  <c r="E107" i="5"/>
  <c r="D107" i="5"/>
  <c r="C107" i="5"/>
  <c r="E106" i="5"/>
  <c r="D106" i="5"/>
  <c r="C106" i="5"/>
  <c r="E105" i="5"/>
  <c r="D105" i="5"/>
  <c r="C105" i="5"/>
  <c r="E102" i="5"/>
  <c r="D102" i="5"/>
  <c r="C102" i="5"/>
  <c r="E101" i="5"/>
  <c r="D101" i="5"/>
  <c r="C101" i="5"/>
  <c r="E100" i="5"/>
  <c r="D100" i="5"/>
  <c r="C100" i="5"/>
  <c r="E99" i="5"/>
  <c r="D99" i="5"/>
  <c r="C99" i="5"/>
  <c r="E98" i="5"/>
  <c r="D98" i="5"/>
  <c r="C98" i="5"/>
  <c r="E97" i="5"/>
  <c r="D97" i="5"/>
  <c r="C97" i="5"/>
  <c r="E96" i="5"/>
  <c r="D96" i="5"/>
  <c r="C96" i="5"/>
  <c r="E95" i="5"/>
  <c r="D95" i="5"/>
  <c r="C95" i="5"/>
  <c r="E94" i="5"/>
  <c r="D94" i="5"/>
  <c r="C94" i="5"/>
  <c r="E93" i="5"/>
  <c r="D93" i="5"/>
  <c r="C93" i="5"/>
  <c r="E92" i="5"/>
  <c r="D92" i="5"/>
  <c r="C92" i="5"/>
  <c r="E91" i="5"/>
  <c r="D91" i="5"/>
  <c r="C91" i="5"/>
  <c r="E88" i="5"/>
  <c r="D88" i="5"/>
  <c r="C88" i="5"/>
  <c r="E87" i="5"/>
  <c r="D87" i="5"/>
  <c r="C87" i="5"/>
  <c r="E86" i="5"/>
  <c r="D86" i="5"/>
  <c r="C86" i="5"/>
  <c r="E85" i="5"/>
  <c r="D85" i="5"/>
  <c r="C85" i="5"/>
  <c r="E84" i="5"/>
  <c r="D84" i="5"/>
  <c r="C84" i="5"/>
  <c r="E83" i="5"/>
  <c r="D83" i="5"/>
  <c r="C83" i="5"/>
  <c r="E82" i="5"/>
  <c r="D82" i="5"/>
  <c r="C82" i="5"/>
  <c r="E81" i="5"/>
  <c r="D81" i="5"/>
  <c r="C81" i="5"/>
  <c r="E80" i="5"/>
  <c r="D80" i="5"/>
  <c r="C80" i="5"/>
  <c r="E79" i="5"/>
  <c r="D79" i="5"/>
  <c r="C79" i="5"/>
  <c r="E78" i="5"/>
  <c r="D78" i="5"/>
  <c r="C78" i="5"/>
  <c r="E77" i="5"/>
  <c r="D77" i="5"/>
  <c r="C77" i="5"/>
  <c r="E74" i="5"/>
  <c r="D74" i="5"/>
  <c r="C74" i="5"/>
  <c r="E73" i="5"/>
  <c r="D73" i="5"/>
  <c r="C73" i="5"/>
  <c r="E72" i="5"/>
  <c r="D72" i="5"/>
  <c r="C72" i="5"/>
  <c r="E71" i="5"/>
  <c r="D71" i="5"/>
  <c r="C71" i="5"/>
  <c r="E70" i="5"/>
  <c r="D70" i="5"/>
  <c r="C70" i="5"/>
  <c r="E69" i="5"/>
  <c r="D69" i="5"/>
  <c r="C69" i="5"/>
  <c r="E68" i="5"/>
  <c r="D68" i="5"/>
  <c r="C68" i="5"/>
  <c r="E67" i="5"/>
  <c r="D67" i="5"/>
  <c r="C67" i="5"/>
  <c r="E66" i="5"/>
  <c r="D66" i="5"/>
  <c r="C66" i="5"/>
  <c r="E65" i="5"/>
  <c r="D65" i="5"/>
  <c r="C65" i="5"/>
  <c r="E64" i="5"/>
  <c r="D64" i="5"/>
  <c r="C64" i="5"/>
  <c r="E63" i="5"/>
  <c r="D63" i="5"/>
  <c r="C63" i="5"/>
  <c r="E60" i="5"/>
  <c r="D60" i="5"/>
  <c r="C60" i="5"/>
  <c r="E59" i="5"/>
  <c r="D59" i="5"/>
  <c r="C59" i="5"/>
  <c r="E58" i="5"/>
  <c r="D58" i="5"/>
  <c r="C58" i="5"/>
  <c r="E57" i="5"/>
  <c r="D57" i="5"/>
  <c r="C57" i="5"/>
  <c r="E56" i="5"/>
  <c r="D56" i="5"/>
  <c r="C56" i="5"/>
  <c r="E55" i="5"/>
  <c r="D55" i="5"/>
  <c r="C55" i="5"/>
  <c r="E54" i="5"/>
  <c r="D54" i="5"/>
  <c r="C54" i="5"/>
  <c r="E53" i="5"/>
  <c r="D53" i="5"/>
  <c r="C53" i="5"/>
  <c r="E52" i="5"/>
  <c r="D52" i="5"/>
  <c r="C52" i="5"/>
  <c r="E51" i="5"/>
  <c r="D51" i="5"/>
  <c r="C51" i="5"/>
  <c r="E50" i="5"/>
  <c r="D50" i="5"/>
  <c r="C50" i="5"/>
  <c r="E49" i="5"/>
  <c r="D49" i="5"/>
  <c r="C49" i="5"/>
  <c r="E46" i="5"/>
  <c r="D46" i="5"/>
  <c r="C46" i="5"/>
  <c r="E45" i="5"/>
  <c r="D45" i="5"/>
  <c r="C45" i="5"/>
  <c r="E44" i="5"/>
  <c r="D44" i="5"/>
  <c r="C44" i="5"/>
  <c r="E43" i="5"/>
  <c r="D43" i="5"/>
  <c r="C43" i="5"/>
  <c r="E42" i="5"/>
  <c r="D42" i="5"/>
  <c r="C42" i="5"/>
  <c r="E41" i="5"/>
  <c r="D41" i="5"/>
  <c r="C41" i="5"/>
  <c r="E40" i="5"/>
  <c r="D40" i="5"/>
  <c r="C40" i="5"/>
  <c r="E39" i="5"/>
  <c r="D39" i="5"/>
  <c r="C39" i="5"/>
  <c r="E38" i="5"/>
  <c r="D38" i="5"/>
  <c r="C38" i="5"/>
  <c r="E37" i="5"/>
  <c r="D37" i="5"/>
  <c r="C37" i="5"/>
  <c r="E36" i="5"/>
  <c r="D36" i="5"/>
  <c r="C36" i="5"/>
  <c r="E35" i="5"/>
  <c r="D35" i="5"/>
  <c r="C35" i="5"/>
  <c r="E32" i="5"/>
  <c r="D32" i="5"/>
  <c r="C32" i="5"/>
  <c r="E31" i="5"/>
  <c r="D31" i="5"/>
  <c r="C31" i="5"/>
  <c r="E30" i="5"/>
  <c r="D30" i="5"/>
  <c r="C30" i="5"/>
  <c r="E29" i="5"/>
  <c r="D29" i="5"/>
  <c r="C29" i="5"/>
  <c r="E28" i="5"/>
  <c r="D28" i="5"/>
  <c r="C28" i="5"/>
  <c r="E27" i="5"/>
  <c r="D27" i="5"/>
  <c r="C27" i="5"/>
  <c r="E26" i="5"/>
  <c r="D26" i="5"/>
  <c r="C26" i="5"/>
  <c r="E25" i="5"/>
  <c r="D25" i="5"/>
  <c r="C25" i="5"/>
  <c r="E24" i="5"/>
  <c r="D24" i="5"/>
  <c r="C24" i="5"/>
  <c r="E23" i="5"/>
  <c r="D23" i="5"/>
  <c r="C23" i="5"/>
  <c r="E22" i="5"/>
  <c r="D22" i="5"/>
  <c r="C22" i="5"/>
  <c r="E21" i="5"/>
  <c r="D21" i="5"/>
  <c r="C21" i="5"/>
  <c r="C8" i="5"/>
  <c r="D8" i="5"/>
  <c r="E8" i="5"/>
  <c r="C9" i="5"/>
  <c r="D9" i="5"/>
  <c r="E9" i="5"/>
  <c r="C10" i="5"/>
  <c r="D10" i="5"/>
  <c r="E10" i="5"/>
  <c r="C11" i="5"/>
  <c r="D11" i="5"/>
  <c r="E11" i="5"/>
  <c r="C12" i="5"/>
  <c r="D12" i="5"/>
  <c r="E12" i="5"/>
  <c r="C13" i="5"/>
  <c r="D13" i="5"/>
  <c r="E13" i="5"/>
  <c r="C14" i="5"/>
  <c r="D14" i="5"/>
  <c r="E14" i="5"/>
  <c r="C15" i="5"/>
  <c r="D15" i="5"/>
  <c r="E15" i="5"/>
  <c r="C16" i="5"/>
  <c r="D16" i="5"/>
  <c r="E16" i="5"/>
  <c r="C17" i="5"/>
  <c r="D17" i="5"/>
  <c r="E17" i="5"/>
  <c r="C18" i="5"/>
  <c r="D18" i="5"/>
  <c r="E18" i="5"/>
  <c r="E7" i="5"/>
  <c r="D7" i="5"/>
  <c r="C7" i="5"/>
  <c r="C329" i="5" l="1"/>
  <c r="E329" i="5"/>
  <c r="D329" i="5"/>
  <c r="E300" i="5"/>
  <c r="D300" i="5"/>
  <c r="C300" i="5"/>
  <c r="C6" i="5"/>
  <c r="C34" i="5"/>
  <c r="C48" i="5"/>
  <c r="C62" i="5"/>
  <c r="C90" i="5"/>
  <c r="C104" i="5"/>
  <c r="C118" i="5"/>
  <c r="C146" i="5"/>
  <c r="C160" i="5"/>
  <c r="C174" i="5"/>
  <c r="C202" i="5"/>
  <c r="C216" i="5"/>
  <c r="C230" i="5"/>
  <c r="C258" i="5"/>
  <c r="C272" i="5"/>
  <c r="C286" i="5"/>
  <c r="D6" i="5"/>
  <c r="D20" i="5"/>
  <c r="D48" i="5"/>
  <c r="D62" i="5"/>
  <c r="D76" i="5"/>
  <c r="D104" i="5"/>
  <c r="D118" i="5"/>
  <c r="D132" i="5"/>
  <c r="D160" i="5"/>
  <c r="D174" i="5"/>
  <c r="D188" i="5"/>
  <c r="D216" i="5"/>
  <c r="D230" i="5"/>
  <c r="D244" i="5"/>
  <c r="D272" i="5"/>
  <c r="D286" i="5"/>
  <c r="E6" i="5"/>
  <c r="E20" i="5"/>
  <c r="C20" i="5"/>
  <c r="E34" i="5"/>
  <c r="D34" i="5"/>
  <c r="E48" i="5"/>
  <c r="E62" i="5"/>
  <c r="E76" i="5"/>
  <c r="C76" i="5"/>
  <c r="E90" i="5"/>
  <c r="D90" i="5"/>
  <c r="E104" i="5"/>
  <c r="E118" i="5"/>
  <c r="E132" i="5"/>
  <c r="C132" i="5"/>
  <c r="E146" i="5"/>
  <c r="D146" i="5"/>
  <c r="E160" i="5"/>
  <c r="E174" i="5"/>
  <c r="E188" i="5"/>
  <c r="C188" i="5"/>
  <c r="E202" i="5"/>
  <c r="D202" i="5"/>
  <c r="E216" i="5"/>
  <c r="E230" i="5"/>
  <c r="E244" i="5"/>
  <c r="C244" i="5"/>
  <c r="E258" i="5"/>
  <c r="D258" i="5"/>
  <c r="E272" i="5"/>
  <c r="E286" i="5"/>
  <c r="I5" i="3" l="1"/>
  <c r="D6" i="3"/>
  <c r="C6" i="3"/>
  <c r="B6" i="3"/>
  <c r="E6" i="3" s="1"/>
  <c r="F6" i="3" l="1"/>
  <c r="D9" i="3"/>
  <c r="D8" i="3"/>
  <c r="D7" i="3"/>
  <c r="H5" i="3"/>
  <c r="G5" i="3"/>
  <c r="A4" i="6" l="1"/>
  <c r="B4" i="6"/>
  <c r="C4" i="6"/>
  <c r="D4" i="6"/>
  <c r="A5" i="6"/>
  <c r="B5" i="6"/>
  <c r="C5" i="6"/>
  <c r="D5" i="6"/>
  <c r="A6" i="6"/>
  <c r="B6" i="6"/>
  <c r="C6" i="6"/>
  <c r="D6" i="6"/>
  <c r="A7" i="6"/>
  <c r="B7" i="6"/>
  <c r="C7" i="6"/>
  <c r="D7" i="6"/>
  <c r="A8" i="6"/>
  <c r="B8" i="6"/>
  <c r="C8" i="6"/>
  <c r="D8" i="6"/>
  <c r="A9" i="6"/>
  <c r="B9" i="6"/>
  <c r="C9" i="6"/>
  <c r="D9" i="6"/>
  <c r="A10" i="6"/>
  <c r="B10" i="6"/>
  <c r="C10" i="6"/>
  <c r="D10" i="6"/>
  <c r="A11" i="6"/>
  <c r="B11" i="6"/>
  <c r="C11" i="6"/>
  <c r="D11" i="6"/>
  <c r="A12" i="6"/>
  <c r="B12" i="6"/>
  <c r="C12" i="6"/>
  <c r="D12" i="6"/>
  <c r="A13" i="6"/>
  <c r="B13" i="6"/>
  <c r="C13" i="6"/>
  <c r="D13" i="6"/>
  <c r="A14" i="6"/>
  <c r="B14" i="6"/>
  <c r="C14" i="6"/>
  <c r="D14" i="6"/>
  <c r="A15" i="6"/>
  <c r="B15" i="6"/>
  <c r="C15" i="6"/>
  <c r="D15" i="6"/>
  <c r="A16" i="6"/>
  <c r="B16" i="6"/>
  <c r="C16" i="6"/>
  <c r="D16" i="6"/>
  <c r="A17" i="6"/>
  <c r="B17" i="6"/>
  <c r="C17" i="6"/>
  <c r="D17" i="6"/>
  <c r="A18" i="6"/>
  <c r="B18" i="6"/>
  <c r="C18" i="6"/>
  <c r="D18" i="6"/>
  <c r="A19" i="6"/>
  <c r="B19" i="6"/>
  <c r="C19" i="6"/>
  <c r="D19" i="6"/>
  <c r="A20" i="6"/>
  <c r="B20" i="6"/>
  <c r="C20" i="6"/>
  <c r="D20" i="6"/>
  <c r="A21" i="6"/>
  <c r="B21" i="6"/>
  <c r="C21" i="6"/>
  <c r="D21" i="6"/>
  <c r="A22" i="6"/>
  <c r="B22" i="6"/>
  <c r="C22" i="6"/>
  <c r="D22" i="6"/>
  <c r="A23" i="6"/>
  <c r="B23" i="6"/>
  <c r="C23" i="6"/>
  <c r="D23" i="6"/>
  <c r="A24" i="6"/>
  <c r="B24" i="6"/>
  <c r="C24" i="6"/>
  <c r="D24" i="6"/>
  <c r="A25" i="6"/>
  <c r="B25" i="6"/>
  <c r="C25" i="6"/>
  <c r="D25" i="6"/>
  <c r="A26" i="6"/>
  <c r="B26" i="6"/>
  <c r="C26" i="6"/>
  <c r="D26" i="6"/>
  <c r="A27" i="6"/>
  <c r="B27" i="6"/>
  <c r="C27" i="6"/>
  <c r="D27" i="6"/>
  <c r="A28" i="6"/>
  <c r="B28" i="6"/>
  <c r="C28" i="6"/>
  <c r="D28" i="6"/>
  <c r="A29" i="6"/>
  <c r="B29" i="6"/>
  <c r="C29" i="6"/>
  <c r="D29" i="6"/>
  <c r="A30" i="6"/>
  <c r="B30" i="6"/>
  <c r="C30" i="6"/>
  <c r="D30" i="6"/>
  <c r="A31" i="6"/>
  <c r="B31" i="6"/>
  <c r="C31" i="6"/>
  <c r="D31" i="6"/>
  <c r="A32" i="6"/>
  <c r="B32" i="6"/>
  <c r="C32" i="6"/>
  <c r="D32" i="6"/>
  <c r="A33" i="6"/>
  <c r="B33" i="6"/>
  <c r="C33" i="6"/>
  <c r="D33" i="6"/>
  <c r="A34" i="6"/>
  <c r="B34" i="6"/>
  <c r="C34" i="6"/>
  <c r="D34" i="6"/>
  <c r="A35" i="6"/>
  <c r="B35" i="6"/>
  <c r="C35" i="6"/>
  <c r="D35" i="6"/>
  <c r="A36" i="6"/>
  <c r="B36" i="6"/>
  <c r="C36" i="6"/>
  <c r="D36" i="6"/>
  <c r="A37" i="6"/>
  <c r="B37" i="6"/>
  <c r="C37" i="6"/>
  <c r="D37" i="6"/>
  <c r="A38" i="6"/>
  <c r="B38" i="6"/>
  <c r="C38" i="6"/>
  <c r="D38" i="6"/>
  <c r="A39" i="6"/>
  <c r="B39" i="6"/>
  <c r="C39" i="6"/>
  <c r="D39" i="6"/>
  <c r="A40" i="6"/>
  <c r="B40" i="6"/>
  <c r="C40" i="6"/>
  <c r="D40" i="6"/>
  <c r="A41" i="6"/>
  <c r="B41" i="6"/>
  <c r="C41" i="6"/>
  <c r="D41" i="6"/>
  <c r="A42" i="6"/>
  <c r="B42" i="6"/>
  <c r="C42" i="6"/>
  <c r="D42" i="6"/>
  <c r="A43" i="6"/>
  <c r="B43" i="6"/>
  <c r="C43" i="6"/>
  <c r="D43" i="6"/>
  <c r="A44" i="6"/>
  <c r="B44" i="6"/>
  <c r="C44" i="6"/>
  <c r="D44" i="6"/>
  <c r="A45" i="6"/>
  <c r="B45" i="6"/>
  <c r="C45" i="6"/>
  <c r="D45" i="6"/>
  <c r="A46" i="6"/>
  <c r="B46" i="6"/>
  <c r="C46" i="6"/>
  <c r="D46" i="6"/>
  <c r="A47" i="6"/>
  <c r="B47" i="6"/>
  <c r="C47" i="6"/>
  <c r="D47" i="6"/>
  <c r="A48" i="6"/>
  <c r="B48" i="6"/>
  <c r="C48" i="6"/>
  <c r="D48" i="6"/>
  <c r="A49" i="6"/>
  <c r="B49" i="6"/>
  <c r="C49" i="6"/>
  <c r="D49" i="6"/>
  <c r="A50" i="6"/>
  <c r="B50" i="6"/>
  <c r="C50" i="6"/>
  <c r="D50" i="6"/>
  <c r="A51" i="6"/>
  <c r="B51" i="6"/>
  <c r="C51" i="6"/>
  <c r="D51" i="6"/>
  <c r="A52" i="6"/>
  <c r="B52" i="6"/>
  <c r="C52" i="6"/>
  <c r="D52" i="6"/>
  <c r="A53" i="6"/>
  <c r="B53" i="6"/>
  <c r="C53" i="6"/>
  <c r="D53" i="6"/>
  <c r="A54" i="6"/>
  <c r="B54" i="6"/>
  <c r="C54" i="6"/>
  <c r="D54" i="6"/>
  <c r="A55" i="6"/>
  <c r="B55" i="6"/>
  <c r="C55" i="6"/>
  <c r="D55" i="6"/>
  <c r="A56" i="6"/>
  <c r="B56" i="6"/>
  <c r="C56" i="6"/>
  <c r="D56" i="6"/>
  <c r="A57" i="6"/>
  <c r="B57" i="6"/>
  <c r="C57" i="6"/>
  <c r="D57" i="6"/>
  <c r="A58" i="6"/>
  <c r="B58" i="6"/>
  <c r="C58" i="6"/>
  <c r="D58" i="6"/>
  <c r="A59" i="6"/>
  <c r="B59" i="6"/>
  <c r="C59" i="6"/>
  <c r="D59" i="6"/>
  <c r="A60" i="6"/>
  <c r="B60" i="6"/>
  <c r="C60" i="6"/>
  <c r="D60" i="6"/>
  <c r="A61" i="6"/>
  <c r="B61" i="6"/>
  <c r="C61" i="6"/>
  <c r="D61" i="6"/>
  <c r="A62" i="6"/>
  <c r="B62" i="6"/>
  <c r="C62" i="6"/>
  <c r="D62" i="6"/>
  <c r="A63" i="6"/>
  <c r="B63" i="6"/>
  <c r="C63" i="6"/>
  <c r="D63" i="6"/>
  <c r="A64" i="6"/>
  <c r="B64" i="6"/>
  <c r="C64" i="6"/>
  <c r="D64" i="6"/>
  <c r="A65" i="6"/>
  <c r="B65" i="6"/>
  <c r="C65" i="6"/>
  <c r="D65" i="6"/>
  <c r="A66" i="6"/>
  <c r="B66" i="6"/>
  <c r="C66" i="6"/>
  <c r="D66" i="6"/>
  <c r="A67" i="6"/>
  <c r="B67" i="6"/>
  <c r="C67" i="6"/>
  <c r="D67" i="6"/>
  <c r="A68" i="6"/>
  <c r="B68" i="6"/>
  <c r="C68" i="6"/>
  <c r="D68" i="6"/>
  <c r="A69" i="6"/>
  <c r="B69" i="6"/>
  <c r="C69" i="6"/>
  <c r="D69" i="6"/>
  <c r="A70" i="6"/>
  <c r="B70" i="6"/>
  <c r="C70" i="6"/>
  <c r="D70" i="6"/>
  <c r="A71" i="6"/>
  <c r="B71" i="6"/>
  <c r="C71" i="6"/>
  <c r="D71" i="6"/>
  <c r="A72" i="6"/>
  <c r="B72" i="6"/>
  <c r="C72" i="6"/>
  <c r="D72" i="6"/>
  <c r="A73" i="6"/>
  <c r="B73" i="6"/>
  <c r="C73" i="6"/>
  <c r="D73" i="6"/>
  <c r="A74" i="6"/>
  <c r="B74" i="6"/>
  <c r="C74" i="6"/>
  <c r="D74" i="6"/>
  <c r="A75" i="6"/>
  <c r="B75" i="6"/>
  <c r="C75" i="6"/>
  <c r="D75" i="6"/>
  <c r="A76" i="6"/>
  <c r="B76" i="6"/>
  <c r="C76" i="6"/>
  <c r="D76" i="6"/>
  <c r="A77" i="6"/>
  <c r="B77" i="6"/>
  <c r="C77" i="6"/>
  <c r="D77" i="6"/>
  <c r="A78" i="6"/>
  <c r="B78" i="6"/>
  <c r="C78" i="6"/>
  <c r="D78" i="6"/>
  <c r="A79" i="6"/>
  <c r="B79" i="6"/>
  <c r="C79" i="6"/>
  <c r="D79" i="6"/>
  <c r="A80" i="6"/>
  <c r="B80" i="6"/>
  <c r="C80" i="6"/>
  <c r="D80" i="6"/>
  <c r="A81" i="6"/>
  <c r="B81" i="6"/>
  <c r="C81" i="6"/>
  <c r="D81" i="6"/>
  <c r="A82" i="6"/>
  <c r="B82" i="6"/>
  <c r="C82" i="6"/>
  <c r="D82" i="6"/>
  <c r="A83" i="6"/>
  <c r="B83" i="6"/>
  <c r="C83" i="6"/>
  <c r="D83" i="6"/>
  <c r="A84" i="6"/>
  <c r="B84" i="6"/>
  <c r="C84" i="6"/>
  <c r="D84" i="6"/>
  <c r="A85" i="6"/>
  <c r="B85" i="6"/>
  <c r="C85" i="6"/>
  <c r="D85" i="6"/>
  <c r="A86" i="6"/>
  <c r="B86" i="6"/>
  <c r="C86" i="6"/>
  <c r="D86" i="6"/>
  <c r="A87" i="6"/>
  <c r="B87" i="6"/>
  <c r="C87" i="6"/>
  <c r="D87" i="6"/>
  <c r="A88" i="6"/>
  <c r="B88" i="6"/>
  <c r="C88" i="6"/>
  <c r="D88" i="6"/>
  <c r="A89" i="6"/>
  <c r="B89" i="6"/>
  <c r="C89" i="6"/>
  <c r="D89" i="6"/>
  <c r="A90" i="6"/>
  <c r="B90" i="6"/>
  <c r="C90" i="6"/>
  <c r="D90" i="6"/>
  <c r="A91" i="6"/>
  <c r="B91" i="6"/>
  <c r="C91" i="6"/>
  <c r="D91" i="6"/>
  <c r="A92" i="6"/>
  <c r="B92" i="6"/>
  <c r="C92" i="6"/>
  <c r="D92" i="6"/>
  <c r="A93" i="6"/>
  <c r="B93" i="6"/>
  <c r="C93" i="6"/>
  <c r="D93" i="6"/>
  <c r="A94" i="6"/>
  <c r="B94" i="6"/>
  <c r="C94" i="6"/>
  <c r="D94" i="6"/>
  <c r="A95" i="6"/>
  <c r="B95" i="6"/>
  <c r="C95" i="6"/>
  <c r="D95" i="6"/>
  <c r="A96" i="6"/>
  <c r="B96" i="6"/>
  <c r="C96" i="6"/>
  <c r="D96" i="6"/>
  <c r="A97" i="6"/>
  <c r="B97" i="6"/>
  <c r="C97" i="6"/>
  <c r="D97" i="6"/>
  <c r="A98" i="6"/>
  <c r="B98" i="6"/>
  <c r="C98" i="6"/>
  <c r="D98" i="6"/>
  <c r="A99" i="6"/>
  <c r="B99" i="6"/>
  <c r="C99" i="6"/>
  <c r="D99" i="6"/>
  <c r="A100" i="6"/>
  <c r="B100" i="6"/>
  <c r="C100" i="6"/>
  <c r="D100" i="6"/>
  <c r="A101" i="6"/>
  <c r="B101" i="6"/>
  <c r="C101" i="6"/>
  <c r="D101" i="6"/>
  <c r="A102" i="6"/>
  <c r="B102" i="6"/>
  <c r="C102" i="6"/>
  <c r="D102" i="6"/>
  <c r="A103" i="6"/>
  <c r="B103" i="6"/>
  <c r="C103" i="6"/>
  <c r="D103" i="6"/>
  <c r="A104" i="6"/>
  <c r="B104" i="6"/>
  <c r="C104" i="6"/>
  <c r="D104" i="6"/>
  <c r="A105" i="6"/>
  <c r="B105" i="6"/>
  <c r="C105" i="6"/>
  <c r="D105" i="6"/>
  <c r="A106" i="6"/>
  <c r="B106" i="6"/>
  <c r="C106" i="6"/>
  <c r="D106" i="6"/>
  <c r="A107" i="6"/>
  <c r="B107" i="6"/>
  <c r="C107" i="6"/>
  <c r="D107" i="6"/>
  <c r="A108" i="6"/>
  <c r="B108" i="6"/>
  <c r="C108" i="6"/>
  <c r="D108" i="6"/>
  <c r="A109" i="6"/>
  <c r="B109" i="6"/>
  <c r="C109" i="6"/>
  <c r="D109" i="6"/>
  <c r="A110" i="6"/>
  <c r="B110" i="6"/>
  <c r="C110" i="6"/>
  <c r="D110" i="6"/>
  <c r="A111" i="6"/>
  <c r="B111" i="6"/>
  <c r="C111" i="6"/>
  <c r="D111" i="6"/>
  <c r="A112" i="6"/>
  <c r="B112" i="6"/>
  <c r="C112" i="6"/>
  <c r="D112" i="6"/>
  <c r="A113" i="6"/>
  <c r="B113" i="6"/>
  <c r="C113" i="6"/>
  <c r="D113" i="6"/>
  <c r="A114" i="6"/>
  <c r="B114" i="6"/>
  <c r="C114" i="6"/>
  <c r="D114" i="6"/>
  <c r="A115" i="6"/>
  <c r="B115" i="6"/>
  <c r="C115" i="6"/>
  <c r="D115" i="6"/>
  <c r="A116" i="6"/>
  <c r="B116" i="6"/>
  <c r="C116" i="6"/>
  <c r="D116" i="6"/>
  <c r="A117" i="6"/>
  <c r="B117" i="6"/>
  <c r="C117" i="6"/>
  <c r="D117" i="6"/>
  <c r="A118" i="6"/>
  <c r="B118" i="6"/>
  <c r="C118" i="6"/>
  <c r="D118" i="6"/>
  <c r="A119" i="6"/>
  <c r="B119" i="6"/>
  <c r="C119" i="6"/>
  <c r="D119" i="6"/>
  <c r="A120" i="6"/>
  <c r="B120" i="6"/>
  <c r="C120" i="6"/>
  <c r="D120" i="6"/>
  <c r="A121" i="6"/>
  <c r="B121" i="6"/>
  <c r="C121" i="6"/>
  <c r="D121" i="6"/>
  <c r="A122" i="6"/>
  <c r="B122" i="6"/>
  <c r="C122" i="6"/>
  <c r="D122" i="6"/>
  <c r="A123" i="6"/>
  <c r="B123" i="6"/>
  <c r="C123" i="6"/>
  <c r="D123" i="6"/>
  <c r="A124" i="6"/>
  <c r="B124" i="6"/>
  <c r="C124" i="6"/>
  <c r="D124" i="6"/>
  <c r="A125" i="6"/>
  <c r="B125" i="6"/>
  <c r="C125" i="6"/>
  <c r="D125" i="6"/>
  <c r="A126" i="6"/>
  <c r="B126" i="6"/>
  <c r="C126" i="6"/>
  <c r="D126" i="6"/>
  <c r="A127" i="6"/>
  <c r="B127" i="6"/>
  <c r="C127" i="6"/>
  <c r="D127" i="6"/>
  <c r="A128" i="6"/>
  <c r="B128" i="6"/>
  <c r="C128" i="6"/>
  <c r="D128" i="6"/>
  <c r="A129" i="6"/>
  <c r="B129" i="6"/>
  <c r="C129" i="6"/>
  <c r="D129" i="6"/>
  <c r="A130" i="6"/>
  <c r="B130" i="6"/>
  <c r="C130" i="6"/>
  <c r="D130" i="6"/>
  <c r="A131" i="6"/>
  <c r="B131" i="6"/>
  <c r="C131" i="6"/>
  <c r="D131" i="6"/>
  <c r="A132" i="6"/>
  <c r="B132" i="6"/>
  <c r="C132" i="6"/>
  <c r="D132" i="6"/>
  <c r="A133" i="6"/>
  <c r="B133" i="6"/>
  <c r="C133" i="6"/>
  <c r="D133" i="6"/>
  <c r="A134" i="6"/>
  <c r="B134" i="6"/>
  <c r="C134" i="6"/>
  <c r="D134" i="6"/>
  <c r="A135" i="6"/>
  <c r="B135" i="6"/>
  <c r="C135" i="6"/>
  <c r="D135" i="6"/>
  <c r="A136" i="6"/>
  <c r="B136" i="6"/>
  <c r="C136" i="6"/>
  <c r="D136" i="6"/>
  <c r="A137" i="6"/>
  <c r="B137" i="6"/>
  <c r="C137" i="6"/>
  <c r="D137" i="6"/>
  <c r="A138" i="6"/>
  <c r="B138" i="6"/>
  <c r="C138" i="6"/>
  <c r="D138" i="6"/>
  <c r="A139" i="6"/>
  <c r="B139" i="6"/>
  <c r="C139" i="6"/>
  <c r="D139" i="6"/>
  <c r="A140" i="6"/>
  <c r="B140" i="6"/>
  <c r="C140" i="6"/>
  <c r="D140" i="6"/>
  <c r="A141" i="6"/>
  <c r="B141" i="6"/>
  <c r="C141" i="6"/>
  <c r="D141" i="6"/>
  <c r="A142" i="6"/>
  <c r="B142" i="6"/>
  <c r="C142" i="6"/>
  <c r="D142" i="6"/>
  <c r="A143" i="6"/>
  <c r="B143" i="6"/>
  <c r="C143" i="6"/>
  <c r="D143" i="6"/>
  <c r="A144" i="6"/>
  <c r="B144" i="6"/>
  <c r="C144" i="6"/>
  <c r="D144" i="6"/>
  <c r="A145" i="6"/>
  <c r="B145" i="6"/>
  <c r="C145" i="6"/>
  <c r="D145" i="6"/>
  <c r="A146" i="6"/>
  <c r="B146" i="6"/>
  <c r="C146" i="6"/>
  <c r="D146" i="6"/>
  <c r="A147" i="6"/>
  <c r="B147" i="6"/>
  <c r="C147" i="6"/>
  <c r="D147" i="6"/>
  <c r="A148" i="6"/>
  <c r="B148" i="6"/>
  <c r="C148" i="6"/>
  <c r="D148" i="6"/>
  <c r="A149" i="6"/>
  <c r="B149" i="6"/>
  <c r="C149" i="6"/>
  <c r="D149" i="6"/>
  <c r="A150" i="6"/>
  <c r="B150" i="6"/>
  <c r="C150" i="6"/>
  <c r="D150" i="6"/>
  <c r="A151" i="6"/>
  <c r="B151" i="6"/>
  <c r="C151" i="6"/>
  <c r="D151" i="6"/>
  <c r="A152" i="6"/>
  <c r="B152" i="6"/>
  <c r="C152" i="6"/>
  <c r="D152" i="6"/>
  <c r="A153" i="6"/>
  <c r="B153" i="6"/>
  <c r="C153" i="6"/>
  <c r="D153" i="6"/>
  <c r="A154" i="6"/>
  <c r="B154" i="6"/>
  <c r="C154" i="6"/>
  <c r="D154" i="6"/>
  <c r="A155" i="6"/>
  <c r="B155" i="6"/>
  <c r="C155" i="6"/>
  <c r="D155" i="6"/>
  <c r="A156" i="6"/>
  <c r="B156" i="6"/>
  <c r="C156" i="6"/>
  <c r="D156" i="6"/>
  <c r="A157" i="6"/>
  <c r="B157" i="6"/>
  <c r="C157" i="6"/>
  <c r="D157" i="6"/>
  <c r="A158" i="6"/>
  <c r="B158" i="6"/>
  <c r="C158" i="6"/>
  <c r="D158" i="6"/>
  <c r="A159" i="6"/>
  <c r="B159" i="6"/>
  <c r="C159" i="6"/>
  <c r="D159" i="6"/>
  <c r="A160" i="6"/>
  <c r="B160" i="6"/>
  <c r="C160" i="6"/>
  <c r="D160" i="6"/>
  <c r="A161" i="6"/>
  <c r="B161" i="6"/>
  <c r="C161" i="6"/>
  <c r="D161" i="6"/>
  <c r="A162" i="6"/>
  <c r="B162" i="6"/>
  <c r="C162" i="6"/>
  <c r="D162" i="6"/>
  <c r="A163" i="6"/>
  <c r="B163" i="6"/>
  <c r="C163" i="6"/>
  <c r="D163" i="6"/>
  <c r="A164" i="6"/>
  <c r="B164" i="6"/>
  <c r="C164" i="6"/>
  <c r="D164" i="6"/>
  <c r="A165" i="6"/>
  <c r="B165" i="6"/>
  <c r="C165" i="6"/>
  <c r="D165" i="6"/>
  <c r="A166" i="6"/>
  <c r="B166" i="6"/>
  <c r="C166" i="6"/>
  <c r="D166" i="6"/>
  <c r="A167" i="6"/>
  <c r="B167" i="6"/>
  <c r="C167" i="6"/>
  <c r="D167" i="6"/>
  <c r="A168" i="6"/>
  <c r="B168" i="6"/>
  <c r="C168" i="6"/>
  <c r="D168" i="6"/>
  <c r="A169" i="6"/>
  <c r="B169" i="6"/>
  <c r="C169" i="6"/>
  <c r="D169" i="6"/>
  <c r="A170" i="6"/>
  <c r="B170" i="6"/>
  <c r="C170" i="6"/>
  <c r="D170" i="6"/>
  <c r="A171" i="6"/>
  <c r="B171" i="6"/>
  <c r="C171" i="6"/>
  <c r="D171" i="6"/>
  <c r="A172" i="6"/>
  <c r="B172" i="6"/>
  <c r="C172" i="6"/>
  <c r="D172" i="6"/>
  <c r="A173" i="6"/>
  <c r="B173" i="6"/>
  <c r="C173" i="6"/>
  <c r="D173" i="6"/>
  <c r="A174" i="6"/>
  <c r="B174" i="6"/>
  <c r="C174" i="6"/>
  <c r="D174" i="6"/>
  <c r="A175" i="6"/>
  <c r="B175" i="6"/>
  <c r="C175" i="6"/>
  <c r="D175" i="6"/>
  <c r="A176" i="6"/>
  <c r="B176" i="6"/>
  <c r="C176" i="6"/>
  <c r="D176" i="6"/>
  <c r="A177" i="6"/>
  <c r="B177" i="6"/>
  <c r="C177" i="6"/>
  <c r="D177" i="6"/>
  <c r="A178" i="6"/>
  <c r="B178" i="6"/>
  <c r="C178" i="6"/>
  <c r="D178" i="6"/>
  <c r="A179" i="6"/>
  <c r="B179" i="6"/>
  <c r="C179" i="6"/>
  <c r="D179" i="6"/>
  <c r="A180" i="6"/>
  <c r="B180" i="6"/>
  <c r="C180" i="6"/>
  <c r="D180" i="6"/>
  <c r="A181" i="6"/>
  <c r="B181" i="6"/>
  <c r="C181" i="6"/>
  <c r="D181" i="6"/>
  <c r="A182" i="6"/>
  <c r="B182" i="6"/>
  <c r="C182" i="6"/>
  <c r="D182" i="6"/>
  <c r="A183" i="6"/>
  <c r="B183" i="6"/>
  <c r="C183" i="6"/>
  <c r="D183" i="6"/>
  <c r="A184" i="6"/>
  <c r="B184" i="6"/>
  <c r="C184" i="6"/>
  <c r="D184" i="6"/>
  <c r="A185" i="6"/>
  <c r="B185" i="6"/>
  <c r="C185" i="6"/>
  <c r="D185" i="6"/>
  <c r="A186" i="6"/>
  <c r="B186" i="6"/>
  <c r="C186" i="6"/>
  <c r="D186" i="6"/>
  <c r="A187" i="6"/>
  <c r="B187" i="6"/>
  <c r="C187" i="6"/>
  <c r="D187" i="6"/>
  <c r="A188" i="6"/>
  <c r="B188" i="6"/>
  <c r="C188" i="6"/>
  <c r="D188" i="6"/>
  <c r="A189" i="6"/>
  <c r="B189" i="6"/>
  <c r="C189" i="6"/>
  <c r="D189" i="6"/>
  <c r="A190" i="6"/>
  <c r="B190" i="6"/>
  <c r="C190" i="6"/>
  <c r="D190" i="6"/>
  <c r="A191" i="6"/>
  <c r="B191" i="6"/>
  <c r="C191" i="6"/>
  <c r="D191" i="6"/>
  <c r="A192" i="6"/>
  <c r="B192" i="6"/>
  <c r="C192" i="6"/>
  <c r="D192" i="6"/>
  <c r="A193" i="6"/>
  <c r="B193" i="6"/>
  <c r="C193" i="6"/>
  <c r="D193" i="6"/>
  <c r="A194" i="6"/>
  <c r="B194" i="6"/>
  <c r="C194" i="6"/>
  <c r="D194" i="6"/>
  <c r="A195" i="6"/>
  <c r="B195" i="6"/>
  <c r="C195" i="6"/>
  <c r="D195" i="6"/>
  <c r="A196" i="6"/>
  <c r="B196" i="6"/>
  <c r="C196" i="6"/>
  <c r="D196" i="6"/>
  <c r="A197" i="6"/>
  <c r="B197" i="6"/>
  <c r="C197" i="6"/>
  <c r="D197" i="6"/>
  <c r="A198" i="6"/>
  <c r="B198" i="6"/>
  <c r="C198" i="6"/>
  <c r="D198" i="6"/>
  <c r="A199" i="6"/>
  <c r="B199" i="6"/>
  <c r="C199" i="6"/>
  <c r="D199" i="6"/>
  <c r="A200" i="6"/>
  <c r="B200" i="6"/>
  <c r="C200" i="6"/>
  <c r="D200" i="6"/>
  <c r="A201" i="6"/>
  <c r="B201" i="6"/>
  <c r="C201" i="6"/>
  <c r="D201" i="6"/>
  <c r="A202" i="6"/>
  <c r="B202" i="6"/>
  <c r="C202" i="6"/>
  <c r="D202" i="6"/>
  <c r="A203" i="6"/>
  <c r="B203" i="6"/>
  <c r="C203" i="6"/>
  <c r="D203" i="6"/>
  <c r="A204" i="6"/>
  <c r="B204" i="6"/>
  <c r="C204" i="6"/>
  <c r="D204" i="6"/>
  <c r="A205" i="6"/>
  <c r="B205" i="6"/>
  <c r="C205" i="6"/>
  <c r="D205" i="6"/>
  <c r="A206" i="6"/>
  <c r="B206" i="6"/>
  <c r="C206" i="6"/>
  <c r="D206" i="6"/>
  <c r="A207" i="6"/>
  <c r="B207" i="6"/>
  <c r="C207" i="6"/>
  <c r="D207" i="6"/>
  <c r="A208" i="6"/>
  <c r="B208" i="6"/>
  <c r="C208" i="6"/>
  <c r="D208" i="6"/>
  <c r="A209" i="6"/>
  <c r="B209" i="6"/>
  <c r="C209" i="6"/>
  <c r="D209" i="6"/>
  <c r="A210" i="6"/>
  <c r="B210" i="6"/>
  <c r="C210" i="6"/>
  <c r="D210" i="6"/>
  <c r="A211" i="6"/>
  <c r="B211" i="6"/>
  <c r="C211" i="6"/>
  <c r="D211" i="6"/>
  <c r="A212" i="6"/>
  <c r="B212" i="6"/>
  <c r="C212" i="6"/>
  <c r="D212" i="6"/>
  <c r="A213" i="6"/>
  <c r="B213" i="6"/>
  <c r="C213" i="6"/>
  <c r="D213" i="6"/>
  <c r="A214" i="6"/>
  <c r="B214" i="6"/>
  <c r="C214" i="6"/>
  <c r="D214" i="6"/>
  <c r="A215" i="6"/>
  <c r="B215" i="6"/>
  <c r="C215" i="6"/>
  <c r="D215" i="6"/>
  <c r="A216" i="6"/>
  <c r="B216" i="6"/>
  <c r="C216" i="6"/>
  <c r="D216" i="6"/>
  <c r="A217" i="6"/>
  <c r="B217" i="6"/>
  <c r="C217" i="6"/>
  <c r="D217" i="6"/>
  <c r="A218" i="6"/>
  <c r="B218" i="6"/>
  <c r="C218" i="6"/>
  <c r="D218" i="6"/>
  <c r="A219" i="6"/>
  <c r="B219" i="6"/>
  <c r="C219" i="6"/>
  <c r="D219" i="6"/>
  <c r="A220" i="6"/>
  <c r="B220" i="6"/>
  <c r="C220" i="6"/>
  <c r="D220" i="6"/>
  <c r="A221" i="6"/>
  <c r="B221" i="6"/>
  <c r="C221" i="6"/>
  <c r="D221" i="6"/>
  <c r="A222" i="6"/>
  <c r="B222" i="6"/>
  <c r="C222" i="6"/>
  <c r="D222" i="6"/>
  <c r="A223" i="6"/>
  <c r="B223" i="6"/>
  <c r="C223" i="6"/>
  <c r="D223" i="6"/>
  <c r="A224" i="6"/>
  <c r="B224" i="6"/>
  <c r="C224" i="6"/>
  <c r="D224" i="6"/>
  <c r="A225" i="6"/>
  <c r="B225" i="6"/>
  <c r="C225" i="6"/>
  <c r="D225" i="6"/>
  <c r="A226" i="6"/>
  <c r="B226" i="6"/>
  <c r="C226" i="6"/>
  <c r="D226" i="6"/>
  <c r="A227" i="6"/>
  <c r="B227" i="6"/>
  <c r="C227" i="6"/>
  <c r="D227" i="6"/>
  <c r="A228" i="6"/>
  <c r="B228" i="6"/>
  <c r="C228" i="6"/>
  <c r="D228" i="6"/>
  <c r="A229" i="6"/>
  <c r="B229" i="6"/>
  <c r="C229" i="6"/>
  <c r="D229" i="6"/>
  <c r="A230" i="6"/>
  <c r="B230" i="6"/>
  <c r="C230" i="6"/>
  <c r="D230" i="6"/>
  <c r="A231" i="6"/>
  <c r="B231" i="6"/>
  <c r="C231" i="6"/>
  <c r="D231" i="6"/>
  <c r="A232" i="6"/>
  <c r="B232" i="6"/>
  <c r="C232" i="6"/>
  <c r="D232" i="6"/>
  <c r="A233" i="6"/>
  <c r="B233" i="6"/>
  <c r="C233" i="6"/>
  <c r="D233" i="6"/>
  <c r="A234" i="6"/>
  <c r="B234" i="6"/>
  <c r="C234" i="6"/>
  <c r="D234" i="6"/>
  <c r="A235" i="6"/>
  <c r="B235" i="6"/>
  <c r="C235" i="6"/>
  <c r="D235" i="6"/>
  <c r="A236" i="6"/>
  <c r="B236" i="6"/>
  <c r="C236" i="6"/>
  <c r="D236" i="6"/>
  <c r="A237" i="6"/>
  <c r="B237" i="6"/>
  <c r="C237" i="6"/>
  <c r="D237" i="6"/>
  <c r="A238" i="6"/>
  <c r="B238" i="6"/>
  <c r="C238" i="6"/>
  <c r="D238" i="6"/>
  <c r="A239" i="6"/>
  <c r="B239" i="6"/>
  <c r="C239" i="6"/>
  <c r="D239" i="6"/>
  <c r="A240" i="6"/>
  <c r="B240" i="6"/>
  <c r="C240" i="6"/>
  <c r="D240" i="6"/>
  <c r="A241" i="6"/>
  <c r="B241" i="6"/>
  <c r="C241" i="6"/>
  <c r="D241" i="6"/>
  <c r="A242" i="6"/>
  <c r="B242" i="6"/>
  <c r="C242" i="6"/>
  <c r="D242" i="6"/>
  <c r="A243" i="6"/>
  <c r="B243" i="6"/>
  <c r="C243" i="6"/>
  <c r="D243" i="6"/>
  <c r="A244" i="6"/>
  <c r="B244" i="6"/>
  <c r="C244" i="6"/>
  <c r="D244" i="6"/>
  <c r="A245" i="6"/>
  <c r="B245" i="6"/>
  <c r="C245" i="6"/>
  <c r="D245" i="6"/>
  <c r="A246" i="6"/>
  <c r="B246" i="6"/>
  <c r="C246" i="6"/>
  <c r="D246" i="6"/>
  <c r="A247" i="6"/>
  <c r="B247" i="6"/>
  <c r="C247" i="6"/>
  <c r="D247" i="6"/>
  <c r="A248" i="6"/>
  <c r="B248" i="6"/>
  <c r="C248" i="6"/>
  <c r="D248" i="6"/>
  <c r="A249" i="6"/>
  <c r="B249" i="6"/>
  <c r="C249" i="6"/>
  <c r="D249" i="6"/>
  <c r="A250" i="6"/>
  <c r="B250" i="6"/>
  <c r="C250" i="6"/>
  <c r="D250" i="6"/>
  <c r="A251" i="6"/>
  <c r="B251" i="6"/>
  <c r="C251" i="6"/>
  <c r="D251" i="6"/>
  <c r="A252" i="6"/>
  <c r="B252" i="6"/>
  <c r="C252" i="6"/>
  <c r="D252" i="6"/>
  <c r="A253" i="6"/>
  <c r="B253" i="6"/>
  <c r="C253" i="6"/>
  <c r="D253" i="6"/>
  <c r="A254" i="6"/>
  <c r="B254" i="6"/>
  <c r="C254" i="6"/>
  <c r="D254" i="6"/>
  <c r="A255" i="6"/>
  <c r="B255" i="6"/>
  <c r="C255" i="6"/>
  <c r="D255" i="6"/>
  <c r="A256" i="6"/>
  <c r="B256" i="6"/>
  <c r="C256" i="6"/>
  <c r="D256" i="6"/>
  <c r="A257" i="6"/>
  <c r="B257" i="6"/>
  <c r="C257" i="6"/>
  <c r="D257" i="6"/>
  <c r="A258" i="6"/>
  <c r="B258" i="6"/>
  <c r="C258" i="6"/>
  <c r="D258" i="6"/>
  <c r="A259" i="6"/>
  <c r="B259" i="6"/>
  <c r="C259" i="6"/>
  <c r="D259" i="6"/>
  <c r="A260" i="6"/>
  <c r="B260" i="6"/>
  <c r="C260" i="6"/>
  <c r="D260" i="6"/>
  <c r="D261" i="6"/>
  <c r="B262" i="6"/>
  <c r="D262" i="6"/>
  <c r="D263" i="6"/>
  <c r="B264" i="6"/>
  <c r="D264" i="6"/>
  <c r="B266" i="6"/>
  <c r="D266" i="6"/>
  <c r="B267" i="6"/>
  <c r="D267" i="6"/>
  <c r="B268" i="6"/>
  <c r="D268" i="6"/>
  <c r="B269" i="6"/>
  <c r="D269" i="6"/>
  <c r="B270" i="6"/>
  <c r="D270" i="6"/>
  <c r="B271" i="6"/>
  <c r="D271" i="6"/>
  <c r="B272" i="6"/>
  <c r="D272" i="6"/>
  <c r="B273" i="6"/>
  <c r="D273" i="6"/>
  <c r="B274" i="6"/>
  <c r="D274" i="6"/>
  <c r="B275" i="6"/>
  <c r="D275" i="6"/>
  <c r="B276" i="6"/>
  <c r="D276" i="6"/>
  <c r="B277" i="6"/>
  <c r="D277" i="6"/>
  <c r="B278" i="6"/>
  <c r="D278" i="6"/>
  <c r="B279" i="6"/>
  <c r="D279" i="6"/>
  <c r="B5" i="1"/>
  <c r="C5" i="1"/>
  <c r="B6" i="1"/>
  <c r="A6" i="1" s="1"/>
  <c r="C6" i="1"/>
  <c r="B7" i="1"/>
  <c r="C7" i="1"/>
  <c r="B8" i="1"/>
  <c r="C8" i="1"/>
  <c r="B9" i="1"/>
  <c r="C9" i="1"/>
  <c r="B10" i="1"/>
  <c r="C10" i="1"/>
  <c r="B11" i="1"/>
  <c r="A11" i="1" s="1"/>
  <c r="C11" i="1"/>
  <c r="B12" i="1"/>
  <c r="C12" i="1"/>
  <c r="B13" i="1"/>
  <c r="A13" i="1" s="1"/>
  <c r="C13" i="1"/>
  <c r="B14" i="1"/>
  <c r="C14" i="1"/>
  <c r="A15" i="1"/>
  <c r="B15" i="1"/>
  <c r="C15" i="1"/>
  <c r="B16" i="1"/>
  <c r="C16" i="1"/>
  <c r="B17" i="1"/>
  <c r="A17" i="1" s="1"/>
  <c r="C17" i="1"/>
  <c r="B18" i="1"/>
  <c r="C18" i="1"/>
  <c r="B19" i="1"/>
  <c r="C19" i="1"/>
  <c r="A19" i="1" s="1"/>
  <c r="B20" i="1"/>
  <c r="A20" i="1" s="1"/>
  <c r="C20" i="1"/>
  <c r="B21" i="1"/>
  <c r="C21" i="1"/>
  <c r="B22" i="1"/>
  <c r="A22" i="1" s="1"/>
  <c r="C22" i="1"/>
  <c r="B23" i="1"/>
  <c r="A23" i="1" s="1"/>
  <c r="C23" i="1"/>
  <c r="B24" i="1"/>
  <c r="A24" i="1" s="1"/>
  <c r="C24" i="1"/>
  <c r="B25" i="1"/>
  <c r="C25" i="1"/>
  <c r="B26" i="1"/>
  <c r="A26" i="1" s="1"/>
  <c r="C26" i="1"/>
  <c r="B27" i="1"/>
  <c r="A27" i="1" s="1"/>
  <c r="C27" i="1"/>
  <c r="B28" i="1"/>
  <c r="C28" i="1"/>
  <c r="B29" i="1"/>
  <c r="A29" i="1" s="1"/>
  <c r="C29" i="1"/>
  <c r="B30" i="1"/>
  <c r="C30" i="1"/>
  <c r="A31" i="1"/>
  <c r="B31" i="1"/>
  <c r="C31" i="1"/>
  <c r="B32" i="1"/>
  <c r="C32" i="1"/>
  <c r="B33" i="1"/>
  <c r="A33" i="1" s="1"/>
  <c r="C33" i="1"/>
  <c r="B34" i="1"/>
  <c r="C34" i="1"/>
  <c r="B35" i="1"/>
  <c r="C35" i="1"/>
  <c r="A35" i="1" s="1"/>
  <c r="B36" i="1"/>
  <c r="A36" i="1" s="1"/>
  <c r="C36" i="1"/>
  <c r="B37" i="1"/>
  <c r="C37" i="1"/>
  <c r="B38" i="1"/>
  <c r="A38" i="1" s="1"/>
  <c r="C38" i="1"/>
  <c r="B39" i="1"/>
  <c r="C39" i="1"/>
  <c r="B40" i="1"/>
  <c r="A40" i="1" s="1"/>
  <c r="C40" i="1"/>
  <c r="B41" i="1"/>
  <c r="C41" i="1"/>
  <c r="B42" i="1"/>
  <c r="A42" i="1" s="1"/>
  <c r="C42" i="1"/>
  <c r="B43" i="1"/>
  <c r="A43" i="1" s="1"/>
  <c r="C43" i="1"/>
  <c r="B44" i="1"/>
  <c r="C44" i="1"/>
  <c r="B45" i="1"/>
  <c r="A45" i="1" s="1"/>
  <c r="C45" i="1"/>
  <c r="B46" i="1"/>
  <c r="C46" i="1"/>
  <c r="A47" i="1"/>
  <c r="B47" i="1"/>
  <c r="C47" i="1"/>
  <c r="B48" i="1"/>
  <c r="C48" i="1"/>
  <c r="B49" i="1"/>
  <c r="A49" i="1" s="1"/>
  <c r="C49" i="1"/>
  <c r="B50" i="1"/>
  <c r="C50" i="1"/>
  <c r="B51" i="1"/>
  <c r="C51" i="1"/>
  <c r="A51" i="1" s="1"/>
  <c r="B52" i="1"/>
  <c r="A52" i="1" s="1"/>
  <c r="C52" i="1"/>
  <c r="B53" i="1"/>
  <c r="C53" i="1"/>
  <c r="B54" i="1"/>
  <c r="A54" i="1" s="1"/>
  <c r="C54" i="1"/>
  <c r="B55" i="1"/>
  <c r="A55" i="1" s="1"/>
  <c r="C55" i="1"/>
  <c r="B56" i="1"/>
  <c r="A56" i="1" s="1"/>
  <c r="C56" i="1"/>
  <c r="B57" i="1"/>
  <c r="C57" i="1"/>
  <c r="B58" i="1"/>
  <c r="A58" i="1" s="1"/>
  <c r="C58" i="1"/>
  <c r="B59" i="1"/>
  <c r="A59" i="1" s="1"/>
  <c r="C59" i="1"/>
  <c r="B60" i="1"/>
  <c r="C60" i="1"/>
  <c r="B61" i="1"/>
  <c r="A61" i="1" s="1"/>
  <c r="C61" i="1"/>
  <c r="B62" i="1"/>
  <c r="C62" i="1"/>
  <c r="A63" i="1"/>
  <c r="B63" i="1"/>
  <c r="C63" i="1"/>
  <c r="B64" i="1"/>
  <c r="C64" i="1"/>
  <c r="B65" i="1"/>
  <c r="A65" i="1" s="1"/>
  <c r="C65" i="1"/>
  <c r="B66" i="1"/>
  <c r="C66" i="1"/>
  <c r="B67" i="1"/>
  <c r="C67" i="1"/>
  <c r="A67" i="1" s="1"/>
  <c r="B68" i="1"/>
  <c r="A68" i="1" s="1"/>
  <c r="C68" i="1"/>
  <c r="B69" i="1"/>
  <c r="C69" i="1"/>
  <c r="B70" i="1"/>
  <c r="A70" i="1" s="1"/>
  <c r="C70" i="1"/>
  <c r="B71" i="1"/>
  <c r="C71" i="1"/>
  <c r="B72" i="1"/>
  <c r="A72" i="1" s="1"/>
  <c r="C72" i="1"/>
  <c r="B73" i="1"/>
  <c r="C73" i="1"/>
  <c r="B74" i="1"/>
  <c r="A74" i="1" s="1"/>
  <c r="C74" i="1"/>
  <c r="B75" i="1"/>
  <c r="A75" i="1" s="1"/>
  <c r="C75" i="1"/>
  <c r="B76" i="1"/>
  <c r="C76" i="1"/>
  <c r="B77" i="1"/>
  <c r="A77" i="1" s="1"/>
  <c r="C77" i="1"/>
  <c r="B78" i="1"/>
  <c r="C78" i="1"/>
  <c r="A79" i="1"/>
  <c r="B79" i="1"/>
  <c r="C79" i="1"/>
  <c r="B80" i="1"/>
  <c r="C80" i="1"/>
  <c r="B81" i="1"/>
  <c r="A81" i="1" s="1"/>
  <c r="C81" i="1"/>
  <c r="B82" i="1"/>
  <c r="C82" i="1"/>
  <c r="B83" i="1"/>
  <c r="C83" i="1"/>
  <c r="A83" i="1" s="1"/>
  <c r="B84" i="1"/>
  <c r="A84" i="1" s="1"/>
  <c r="C84" i="1"/>
  <c r="B85" i="1"/>
  <c r="C85" i="1"/>
  <c r="B86" i="1"/>
  <c r="A86" i="1" s="1"/>
  <c r="C86" i="1"/>
  <c r="B87" i="1"/>
  <c r="C87" i="1"/>
  <c r="B88" i="1"/>
  <c r="A88" i="1" s="1"/>
  <c r="C88" i="1"/>
  <c r="B89" i="1"/>
  <c r="C89" i="1"/>
  <c r="B90" i="1"/>
  <c r="A90" i="1" s="1"/>
  <c r="C90" i="1"/>
  <c r="B91" i="1"/>
  <c r="A91" i="1" s="1"/>
  <c r="C91" i="1"/>
  <c r="B92" i="1"/>
  <c r="C92" i="1"/>
  <c r="B93" i="1"/>
  <c r="A93" i="1" s="1"/>
  <c r="C93" i="1"/>
  <c r="B94" i="1"/>
  <c r="C94" i="1"/>
  <c r="A95" i="1"/>
  <c r="B95" i="1"/>
  <c r="C95" i="1"/>
  <c r="B96" i="1"/>
  <c r="C96" i="1"/>
  <c r="B97" i="1"/>
  <c r="A97" i="1" s="1"/>
  <c r="C97" i="1"/>
  <c r="B98" i="1"/>
  <c r="C98" i="1"/>
  <c r="B99" i="1"/>
  <c r="C99" i="1"/>
  <c r="A99" i="1" s="1"/>
  <c r="B100" i="1"/>
  <c r="A100" i="1" s="1"/>
  <c r="C100" i="1"/>
  <c r="B101" i="1"/>
  <c r="C101" i="1"/>
  <c r="B102" i="1"/>
  <c r="A102" i="1" s="1"/>
  <c r="C102" i="1"/>
  <c r="B103" i="1"/>
  <c r="C103" i="1"/>
  <c r="B104" i="1"/>
  <c r="A104" i="1" s="1"/>
  <c r="C104" i="1"/>
  <c r="B105" i="1"/>
  <c r="C105" i="1"/>
  <c r="B106" i="1"/>
  <c r="A106" i="1" s="1"/>
  <c r="C106" i="1"/>
  <c r="B107" i="1"/>
  <c r="A107" i="1" s="1"/>
  <c r="C107" i="1"/>
  <c r="B108" i="1"/>
  <c r="C108" i="1"/>
  <c r="B109" i="1"/>
  <c r="A109" i="1" s="1"/>
  <c r="C109" i="1"/>
  <c r="B110" i="1"/>
  <c r="C110" i="1"/>
  <c r="A111" i="1"/>
  <c r="B111" i="1"/>
  <c r="C111" i="1"/>
  <c r="B112" i="1"/>
  <c r="C112" i="1"/>
  <c r="B113" i="1"/>
  <c r="A113" i="1" s="1"/>
  <c r="C113" i="1"/>
  <c r="B114" i="1"/>
  <c r="C114" i="1"/>
  <c r="B115" i="1"/>
  <c r="C115" i="1"/>
  <c r="A115" i="1" s="1"/>
  <c r="B116" i="1"/>
  <c r="A116" i="1" s="1"/>
  <c r="C116" i="1"/>
  <c r="B117" i="1"/>
  <c r="C117" i="1"/>
  <c r="B118" i="1"/>
  <c r="A118" i="1" s="1"/>
  <c r="C118" i="1"/>
  <c r="B119" i="1"/>
  <c r="C119" i="1"/>
  <c r="B120" i="1"/>
  <c r="A120" i="1" s="1"/>
  <c r="C120" i="1"/>
  <c r="B121" i="1"/>
  <c r="C121" i="1"/>
  <c r="B122" i="1"/>
  <c r="A122" i="1" s="1"/>
  <c r="C122" i="1"/>
  <c r="B123" i="1"/>
  <c r="A123" i="1" s="1"/>
  <c r="C123" i="1"/>
  <c r="B124" i="1"/>
  <c r="C124" i="1"/>
  <c r="B125" i="1"/>
  <c r="A125" i="1" s="1"/>
  <c r="C125" i="1"/>
  <c r="B126" i="1"/>
  <c r="C126" i="1"/>
  <c r="A127" i="1"/>
  <c r="B127" i="1"/>
  <c r="C127" i="1"/>
  <c r="B128" i="1"/>
  <c r="C128" i="1"/>
  <c r="B129" i="1"/>
  <c r="A129" i="1" s="1"/>
  <c r="C129" i="1"/>
  <c r="B130" i="1"/>
  <c r="C130" i="1"/>
  <c r="B131" i="1"/>
  <c r="C131" i="1"/>
  <c r="A131" i="1" s="1"/>
  <c r="B132" i="1"/>
  <c r="A132" i="1" s="1"/>
  <c r="C132" i="1"/>
  <c r="B133" i="1"/>
  <c r="C133" i="1"/>
  <c r="B134" i="1"/>
  <c r="A134" i="1" s="1"/>
  <c r="C134" i="1"/>
  <c r="B135" i="1"/>
  <c r="C135" i="1"/>
  <c r="B136" i="1"/>
  <c r="A136" i="1" s="1"/>
  <c r="C136" i="1"/>
  <c r="B137" i="1"/>
  <c r="C137" i="1"/>
  <c r="B138" i="1"/>
  <c r="A138" i="1" s="1"/>
  <c r="C138" i="1"/>
  <c r="B139" i="1"/>
  <c r="A139" i="1" s="1"/>
  <c r="C139" i="1"/>
  <c r="B140" i="1"/>
  <c r="C140" i="1"/>
  <c r="B141" i="1"/>
  <c r="A141" i="1" s="1"/>
  <c r="C141" i="1"/>
  <c r="B142" i="1"/>
  <c r="C142" i="1"/>
  <c r="A143" i="1"/>
  <c r="B143" i="1"/>
  <c r="C143" i="1"/>
  <c r="B144" i="1"/>
  <c r="C144" i="1"/>
  <c r="B145" i="1"/>
  <c r="A145" i="1" s="1"/>
  <c r="C145" i="1"/>
  <c r="B146" i="1"/>
  <c r="C146" i="1"/>
  <c r="B147" i="1"/>
  <c r="C147" i="1"/>
  <c r="A147" i="1" s="1"/>
  <c r="B148" i="1"/>
  <c r="A148" i="1" s="1"/>
  <c r="C148" i="1"/>
  <c r="B149" i="1"/>
  <c r="C149" i="1"/>
  <c r="B150" i="1"/>
  <c r="A150" i="1" s="1"/>
  <c r="C150" i="1"/>
  <c r="B151" i="1"/>
  <c r="C151" i="1"/>
  <c r="B152" i="1"/>
  <c r="A152" i="1" s="1"/>
  <c r="C152" i="1"/>
  <c r="B153" i="1"/>
  <c r="C153" i="1"/>
  <c r="B154" i="1"/>
  <c r="A154" i="1" s="1"/>
  <c r="C154" i="1"/>
  <c r="B155" i="1"/>
  <c r="A155" i="1" s="1"/>
  <c r="C155" i="1"/>
  <c r="B156" i="1"/>
  <c r="C156" i="1"/>
  <c r="B157" i="1"/>
  <c r="A157" i="1" s="1"/>
  <c r="C157" i="1"/>
  <c r="B158" i="1"/>
  <c r="C158" i="1"/>
  <c r="A159" i="1"/>
  <c r="B159" i="1"/>
  <c r="C159" i="1"/>
  <c r="B160" i="1"/>
  <c r="C160" i="1"/>
  <c r="B161" i="1"/>
  <c r="A161" i="1" s="1"/>
  <c r="C161" i="1"/>
  <c r="B162" i="1"/>
  <c r="C162" i="1"/>
  <c r="B163" i="1"/>
  <c r="C163" i="1"/>
  <c r="A163" i="1" s="1"/>
  <c r="B164" i="1"/>
  <c r="A164" i="1" s="1"/>
  <c r="C164" i="1"/>
  <c r="B165" i="1"/>
  <c r="C165" i="1"/>
  <c r="B166" i="1"/>
  <c r="A166" i="1" s="1"/>
  <c r="C166" i="1"/>
  <c r="B167" i="1"/>
  <c r="C167" i="1"/>
  <c r="B168" i="1"/>
  <c r="A168" i="1" s="1"/>
  <c r="C168" i="1"/>
  <c r="B169" i="1"/>
  <c r="C169" i="1"/>
  <c r="B170" i="1"/>
  <c r="A170" i="1" s="1"/>
  <c r="C170" i="1"/>
  <c r="B171" i="1"/>
  <c r="A171" i="1" s="1"/>
  <c r="C171" i="1"/>
  <c r="B172" i="1"/>
  <c r="C172" i="1"/>
  <c r="B173" i="1"/>
  <c r="A173" i="1" s="1"/>
  <c r="C173" i="1"/>
  <c r="B174" i="1"/>
  <c r="C174" i="1"/>
  <c r="A175" i="1"/>
  <c r="B175" i="1"/>
  <c r="C175" i="1"/>
  <c r="B176" i="1"/>
  <c r="C176" i="1"/>
  <c r="B177" i="1"/>
  <c r="A177" i="1" s="1"/>
  <c r="C177" i="1"/>
  <c r="B178" i="1"/>
  <c r="C178" i="1"/>
  <c r="B179" i="1"/>
  <c r="C179" i="1"/>
  <c r="A179" i="1" s="1"/>
  <c r="B180" i="1"/>
  <c r="A180" i="1" s="1"/>
  <c r="C180" i="1"/>
  <c r="B181" i="1"/>
  <c r="C181" i="1"/>
  <c r="B182" i="1"/>
  <c r="A182" i="1" s="1"/>
  <c r="C182" i="1"/>
  <c r="B183" i="1"/>
  <c r="C183" i="1"/>
  <c r="B184" i="1"/>
  <c r="A184" i="1" s="1"/>
  <c r="C184" i="1"/>
  <c r="B185" i="1"/>
  <c r="C185" i="1"/>
  <c r="B186" i="1"/>
  <c r="A186" i="1" s="1"/>
  <c r="C186" i="1"/>
  <c r="B187" i="1"/>
  <c r="A187" i="1" s="1"/>
  <c r="C187" i="1"/>
  <c r="B188" i="1"/>
  <c r="C188" i="1"/>
  <c r="B189" i="1"/>
  <c r="A189" i="1" s="1"/>
  <c r="C189" i="1"/>
  <c r="B190" i="1"/>
  <c r="C190" i="1"/>
  <c r="A191" i="1"/>
  <c r="B191" i="1"/>
  <c r="C191" i="1"/>
  <c r="B192" i="1"/>
  <c r="C192" i="1"/>
  <c r="B193" i="1"/>
  <c r="A193" i="1" s="1"/>
  <c r="C193" i="1"/>
  <c r="B194" i="1"/>
  <c r="C194" i="1"/>
  <c r="B195" i="1"/>
  <c r="C195" i="1"/>
  <c r="A195" i="1" s="1"/>
  <c r="B196" i="1"/>
  <c r="A196" i="1" s="1"/>
  <c r="C196" i="1"/>
  <c r="B197" i="1"/>
  <c r="C197" i="1"/>
  <c r="B198" i="1"/>
  <c r="A198" i="1" s="1"/>
  <c r="C198" i="1"/>
  <c r="B199" i="1"/>
  <c r="C199" i="1"/>
  <c r="B200" i="1"/>
  <c r="A200" i="1" s="1"/>
  <c r="C200" i="1"/>
  <c r="B201" i="1"/>
  <c r="C201" i="1"/>
  <c r="B202" i="1"/>
  <c r="A202" i="1" s="1"/>
  <c r="C202" i="1"/>
  <c r="B203" i="1"/>
  <c r="A203" i="1" s="1"/>
  <c r="C203" i="1"/>
  <c r="B204" i="1"/>
  <c r="C204" i="1"/>
  <c r="B205" i="1"/>
  <c r="A205" i="1" s="1"/>
  <c r="C205" i="1"/>
  <c r="B206" i="1"/>
  <c r="C206" i="1"/>
  <c r="A207" i="1"/>
  <c r="B207" i="1"/>
  <c r="C207" i="1"/>
  <c r="B208" i="1"/>
  <c r="C208" i="1"/>
  <c r="B209" i="1"/>
  <c r="A209" i="1" s="1"/>
  <c r="C209" i="1"/>
  <c r="B210" i="1"/>
  <c r="C210" i="1"/>
  <c r="B211" i="1"/>
  <c r="C211" i="1"/>
  <c r="A211" i="1" s="1"/>
  <c r="B212" i="1"/>
  <c r="A212" i="1" s="1"/>
  <c r="C212" i="1"/>
  <c r="B213" i="1"/>
  <c r="C213" i="1"/>
  <c r="B214" i="1"/>
  <c r="A214" i="1" s="1"/>
  <c r="C214" i="1"/>
  <c r="B215" i="1"/>
  <c r="C215" i="1"/>
  <c r="B216" i="1"/>
  <c r="A216" i="1" s="1"/>
  <c r="C216" i="1"/>
  <c r="B217" i="1"/>
  <c r="C217" i="1"/>
  <c r="B218" i="1"/>
  <c r="A218" i="1" s="1"/>
  <c r="C218" i="1"/>
  <c r="B219" i="1"/>
  <c r="A219" i="1" s="1"/>
  <c r="C219" i="1"/>
  <c r="B220" i="1"/>
  <c r="C220" i="1"/>
  <c r="B221" i="1"/>
  <c r="A221" i="1" s="1"/>
  <c r="C221" i="1"/>
  <c r="B222" i="1"/>
  <c r="C222" i="1"/>
  <c r="A223" i="1"/>
  <c r="B223" i="1"/>
  <c r="C223" i="1"/>
  <c r="B224" i="1"/>
  <c r="C224" i="1"/>
  <c r="B225" i="1"/>
  <c r="A225" i="1" s="1"/>
  <c r="C225" i="1"/>
  <c r="B226" i="1"/>
  <c r="C226" i="1"/>
  <c r="B227" i="1"/>
  <c r="C227" i="1"/>
  <c r="A227" i="1" s="1"/>
  <c r="B228" i="1"/>
  <c r="A228" i="1" s="1"/>
  <c r="C228" i="1"/>
  <c r="B229" i="1"/>
  <c r="C229" i="1"/>
  <c r="B230" i="1"/>
  <c r="A230" i="1" s="1"/>
  <c r="C230" i="1"/>
  <c r="B231" i="1"/>
  <c r="C231" i="1"/>
  <c r="B232" i="1"/>
  <c r="A232" i="1" s="1"/>
  <c r="C232" i="1"/>
  <c r="B233" i="1"/>
  <c r="C233" i="1"/>
  <c r="B234" i="1"/>
  <c r="A234" i="1" s="1"/>
  <c r="C234" i="1"/>
  <c r="B235" i="1"/>
  <c r="A235" i="1" s="1"/>
  <c r="C235" i="1"/>
  <c r="B236" i="1"/>
  <c r="C236" i="1"/>
  <c r="B237" i="1"/>
  <c r="A237" i="1" s="1"/>
  <c r="C237" i="1"/>
  <c r="B238" i="1"/>
  <c r="C238" i="1"/>
  <c r="A239" i="1"/>
  <c r="B239" i="1"/>
  <c r="C239" i="1"/>
  <c r="B240" i="1"/>
  <c r="C240" i="1"/>
  <c r="B241" i="1"/>
  <c r="A241" i="1" s="1"/>
  <c r="C241" i="1"/>
  <c r="B242" i="1"/>
  <c r="C242" i="1"/>
  <c r="B243" i="1"/>
  <c r="C243" i="1"/>
  <c r="A243" i="1" s="1"/>
  <c r="B244" i="1"/>
  <c r="A244" i="1" s="1"/>
  <c r="C244" i="1"/>
  <c r="B245" i="1"/>
  <c r="C245" i="1"/>
  <c r="B246" i="1"/>
  <c r="A246" i="1" s="1"/>
  <c r="C246" i="1"/>
  <c r="B247" i="1"/>
  <c r="C247" i="1"/>
  <c r="B248" i="1"/>
  <c r="A248" i="1" s="1"/>
  <c r="C248" i="1"/>
  <c r="B249" i="1"/>
  <c r="C249" i="1"/>
  <c r="B250" i="1"/>
  <c r="A250" i="1" s="1"/>
  <c r="C250" i="1"/>
  <c r="B251" i="1"/>
  <c r="A251" i="1" s="1"/>
  <c r="C251" i="1"/>
  <c r="B252" i="1"/>
  <c r="C252" i="1"/>
  <c r="B253" i="1"/>
  <c r="A253" i="1" s="1"/>
  <c r="C253" i="1"/>
  <c r="B254" i="1"/>
  <c r="C254" i="1"/>
  <c r="A255" i="1"/>
  <c r="B255" i="1"/>
  <c r="C255" i="1"/>
  <c r="B256" i="1"/>
  <c r="C256" i="1"/>
  <c r="B257" i="1"/>
  <c r="A257" i="1" s="1"/>
  <c r="C257" i="1"/>
  <c r="B258" i="1"/>
  <c r="C258" i="1"/>
  <c r="A259" i="1"/>
  <c r="B259" i="1"/>
  <c r="C259" i="1"/>
  <c r="B260" i="1"/>
  <c r="A260" i="1" s="1"/>
  <c r="C260" i="1"/>
  <c r="B261" i="1"/>
  <c r="B261" i="6" s="1"/>
  <c r="C261" i="1"/>
  <c r="C261" i="6" s="1"/>
  <c r="B262" i="1"/>
  <c r="C262" i="1"/>
  <c r="C262" i="6" s="1"/>
  <c r="B263" i="1"/>
  <c r="A263" i="1" s="1"/>
  <c r="A263" i="6" s="1"/>
  <c r="C263" i="1"/>
  <c r="C263" i="6" s="1"/>
  <c r="B264" i="1"/>
  <c r="C264" i="1"/>
  <c r="C264" i="6" s="1"/>
  <c r="C266" i="6"/>
  <c r="A267" i="6"/>
  <c r="C267" i="6"/>
  <c r="C268" i="6"/>
  <c r="B269" i="1"/>
  <c r="C269" i="1"/>
  <c r="C269" i="6" s="1"/>
  <c r="B270" i="1"/>
  <c r="C270" i="1"/>
  <c r="C270" i="6" s="1"/>
  <c r="B271" i="1"/>
  <c r="A271" i="1" s="1"/>
  <c r="A271" i="6" s="1"/>
  <c r="C271" i="1"/>
  <c r="C271" i="6" s="1"/>
  <c r="B272" i="1"/>
  <c r="C272" i="1"/>
  <c r="C272" i="6" s="1"/>
  <c r="B273" i="1"/>
  <c r="A273" i="1" s="1"/>
  <c r="A273" i="6" s="1"/>
  <c r="C273" i="1"/>
  <c r="C273" i="6" s="1"/>
  <c r="B274" i="1"/>
  <c r="C274" i="1"/>
  <c r="C274" i="6" s="1"/>
  <c r="B275" i="1"/>
  <c r="C275" i="1"/>
  <c r="B276" i="1"/>
  <c r="C276" i="1"/>
  <c r="C276" i="6" s="1"/>
  <c r="B277" i="1"/>
  <c r="C277" i="1"/>
  <c r="C277" i="6" s="1"/>
  <c r="B278" i="1"/>
  <c r="C278" i="1"/>
  <c r="C278" i="6" s="1"/>
  <c r="B279" i="1"/>
  <c r="C279" i="1"/>
  <c r="C279" i="6" s="1"/>
  <c r="C4" i="1"/>
  <c r="B4" i="1"/>
  <c r="A4" i="1" s="1"/>
  <c r="E261" i="6" l="1"/>
  <c r="F261" i="6"/>
  <c r="G261" i="6"/>
  <c r="F108" i="6"/>
  <c r="A274" i="1"/>
  <c r="A274" i="6" s="1"/>
  <c r="A275" i="1"/>
  <c r="A275" i="6" s="1"/>
  <c r="A266" i="6"/>
  <c r="A264" i="1"/>
  <c r="A264" i="6" s="1"/>
  <c r="A262" i="1"/>
  <c r="A262" i="6" s="1"/>
  <c r="F112" i="6"/>
  <c r="F111" i="6"/>
  <c r="G111" i="6"/>
  <c r="E111" i="6"/>
  <c r="C275" i="6"/>
  <c r="E107" i="6"/>
  <c r="E4" i="6"/>
  <c r="G4" i="6"/>
  <c r="F4" i="6"/>
  <c r="F279" i="6"/>
  <c r="G279" i="6"/>
  <c r="E279" i="6"/>
  <c r="E278" i="6"/>
  <c r="F278" i="6"/>
  <c r="G278" i="6"/>
  <c r="F277" i="6"/>
  <c r="G277" i="6"/>
  <c r="E277" i="6"/>
  <c r="G276" i="6"/>
  <c r="E276" i="6"/>
  <c r="F276" i="6"/>
  <c r="F275" i="6"/>
  <c r="G275" i="6"/>
  <c r="E275" i="6"/>
  <c r="E274" i="6"/>
  <c r="F274" i="6"/>
  <c r="G274" i="6"/>
  <c r="E273" i="6"/>
  <c r="F273" i="6"/>
  <c r="G273" i="6"/>
  <c r="G272" i="6"/>
  <c r="E272" i="6"/>
  <c r="F272" i="6"/>
  <c r="F271" i="6"/>
  <c r="G271" i="6"/>
  <c r="E271" i="6"/>
  <c r="E270" i="6"/>
  <c r="F270" i="6"/>
  <c r="G270" i="6"/>
  <c r="E269" i="6"/>
  <c r="F269" i="6"/>
  <c r="G269" i="6"/>
  <c r="G268" i="6"/>
  <c r="E268" i="6"/>
  <c r="F268" i="6"/>
  <c r="F267" i="6"/>
  <c r="G267" i="6"/>
  <c r="E267" i="6"/>
  <c r="E266" i="6"/>
  <c r="F266" i="6"/>
  <c r="G266" i="6"/>
  <c r="G264" i="6"/>
  <c r="E264" i="6"/>
  <c r="F264" i="6"/>
  <c r="B263" i="6"/>
  <c r="E262" i="6"/>
  <c r="F262" i="6"/>
  <c r="G262" i="6"/>
  <c r="G260" i="6"/>
  <c r="E260" i="6"/>
  <c r="F260" i="6"/>
  <c r="F259" i="6"/>
  <c r="G259" i="6"/>
  <c r="E259" i="6"/>
  <c r="E258" i="6"/>
  <c r="F258" i="6"/>
  <c r="G258" i="6"/>
  <c r="E257" i="6"/>
  <c r="F257" i="6"/>
  <c r="G257" i="6"/>
  <c r="G256" i="6"/>
  <c r="E256" i="6"/>
  <c r="F256" i="6"/>
  <c r="F255" i="6"/>
  <c r="G255" i="6"/>
  <c r="E255" i="6"/>
  <c r="E254" i="6"/>
  <c r="F254" i="6"/>
  <c r="G254" i="6"/>
  <c r="E253" i="6"/>
  <c r="F253" i="6"/>
  <c r="G253" i="6"/>
  <c r="G252" i="6"/>
  <c r="E252" i="6"/>
  <c r="F252" i="6"/>
  <c r="F251" i="6"/>
  <c r="D331" i="5" s="1"/>
  <c r="G251" i="6"/>
  <c r="E331" i="5" s="1"/>
  <c r="E251" i="6"/>
  <c r="C331" i="5" s="1"/>
  <c r="E250" i="6"/>
  <c r="F250" i="6"/>
  <c r="G250" i="6"/>
  <c r="E249" i="6"/>
  <c r="F249" i="6"/>
  <c r="G249" i="6"/>
  <c r="G248" i="6"/>
  <c r="E248" i="6"/>
  <c r="F248" i="6"/>
  <c r="F247" i="6"/>
  <c r="G247" i="6"/>
  <c r="E247" i="6"/>
  <c r="E246" i="6"/>
  <c r="F246" i="6"/>
  <c r="G246" i="6"/>
  <c r="E245" i="6"/>
  <c r="F245" i="6"/>
  <c r="G245" i="6"/>
  <c r="G244" i="6"/>
  <c r="E244" i="6"/>
  <c r="F244" i="6"/>
  <c r="F243" i="6"/>
  <c r="G243" i="6"/>
  <c r="E243" i="6"/>
  <c r="E242" i="6"/>
  <c r="F242" i="6"/>
  <c r="G242" i="6"/>
  <c r="E241" i="6"/>
  <c r="F241" i="6"/>
  <c r="G241" i="6"/>
  <c r="G240" i="6"/>
  <c r="E240" i="6"/>
  <c r="F240" i="6"/>
  <c r="F239" i="6"/>
  <c r="G239" i="6"/>
  <c r="E239" i="6"/>
  <c r="E238" i="6"/>
  <c r="F238" i="6"/>
  <c r="G238" i="6"/>
  <c r="E237" i="6"/>
  <c r="F237" i="6"/>
  <c r="G237" i="6"/>
  <c r="G236" i="6"/>
  <c r="E236" i="6"/>
  <c r="F236" i="6"/>
  <c r="F235" i="6"/>
  <c r="G235" i="6"/>
  <c r="E235" i="6"/>
  <c r="E234" i="6"/>
  <c r="F234" i="6"/>
  <c r="G234" i="6"/>
  <c r="E233" i="6"/>
  <c r="F233" i="6"/>
  <c r="G233" i="6"/>
  <c r="G232" i="6"/>
  <c r="E232" i="6"/>
  <c r="F232" i="6"/>
  <c r="F231" i="6"/>
  <c r="G231" i="6"/>
  <c r="E231" i="6"/>
  <c r="E230" i="6"/>
  <c r="F230" i="6"/>
  <c r="G230" i="6"/>
  <c r="E229" i="6"/>
  <c r="F229" i="6"/>
  <c r="G229" i="6"/>
  <c r="G228" i="6"/>
  <c r="E228" i="6"/>
  <c r="F228" i="6"/>
  <c r="F227" i="6"/>
  <c r="G227" i="6"/>
  <c r="E227" i="6"/>
  <c r="E226" i="6"/>
  <c r="F226" i="6"/>
  <c r="G226" i="6"/>
  <c r="E225" i="6"/>
  <c r="F225" i="6"/>
  <c r="G225" i="6"/>
  <c r="E224" i="6"/>
  <c r="F224" i="6"/>
  <c r="G224" i="6"/>
  <c r="E223" i="6"/>
  <c r="F223" i="6"/>
  <c r="G223" i="6"/>
  <c r="E222" i="6"/>
  <c r="G222" i="6"/>
  <c r="F222" i="6"/>
  <c r="F221" i="6"/>
  <c r="G221" i="6"/>
  <c r="E221" i="6"/>
  <c r="G220" i="6"/>
  <c r="E220" i="6"/>
  <c r="F220" i="6"/>
  <c r="F219" i="6"/>
  <c r="E219" i="6"/>
  <c r="G219" i="6"/>
  <c r="E218" i="6"/>
  <c r="G218" i="6"/>
  <c r="F218" i="6"/>
  <c r="F217" i="6"/>
  <c r="G217" i="6"/>
  <c r="E217" i="6"/>
  <c r="G216" i="6"/>
  <c r="E216" i="6"/>
  <c r="F216" i="6"/>
  <c r="F215" i="6"/>
  <c r="E215" i="6"/>
  <c r="G215" i="6"/>
  <c r="E214" i="6"/>
  <c r="F214" i="6"/>
  <c r="G214" i="6"/>
  <c r="E213" i="6"/>
  <c r="F213" i="6"/>
  <c r="G213" i="6"/>
  <c r="G212" i="6"/>
  <c r="E212" i="6"/>
  <c r="F212" i="6"/>
  <c r="F211" i="6"/>
  <c r="G211" i="6"/>
  <c r="E211" i="6"/>
  <c r="E210" i="6"/>
  <c r="F210" i="6"/>
  <c r="G210" i="6"/>
  <c r="E209" i="6"/>
  <c r="F209" i="6"/>
  <c r="G209" i="6"/>
  <c r="G208" i="6"/>
  <c r="E208" i="6"/>
  <c r="F208" i="6"/>
  <c r="F207" i="6"/>
  <c r="G207" i="6"/>
  <c r="E207" i="6"/>
  <c r="E206" i="6"/>
  <c r="F206" i="6"/>
  <c r="G206" i="6"/>
  <c r="E205" i="6"/>
  <c r="F205" i="6"/>
  <c r="G205" i="6"/>
  <c r="G204" i="6"/>
  <c r="E204" i="6"/>
  <c r="F204" i="6"/>
  <c r="F203" i="6"/>
  <c r="G203" i="6"/>
  <c r="E203" i="6"/>
  <c r="E202" i="6"/>
  <c r="F202" i="6"/>
  <c r="G202" i="6"/>
  <c r="E201" i="6"/>
  <c r="F201" i="6"/>
  <c r="G201" i="6"/>
  <c r="G200" i="6"/>
  <c r="E200" i="6"/>
  <c r="F200" i="6"/>
  <c r="F199" i="6"/>
  <c r="G199" i="6"/>
  <c r="E199" i="6"/>
  <c r="E198" i="6"/>
  <c r="F198" i="6"/>
  <c r="G198" i="6"/>
  <c r="E197" i="6"/>
  <c r="F197" i="6"/>
  <c r="G197" i="6"/>
  <c r="G196" i="6"/>
  <c r="E196" i="6"/>
  <c r="F196" i="6"/>
  <c r="F195" i="6"/>
  <c r="G195" i="6"/>
  <c r="E195" i="6"/>
  <c r="E194" i="6"/>
  <c r="F194" i="6"/>
  <c r="G194" i="6"/>
  <c r="E193" i="6"/>
  <c r="F193" i="6"/>
  <c r="G193" i="6"/>
  <c r="G192" i="6"/>
  <c r="E192" i="6"/>
  <c r="F192" i="6"/>
  <c r="F191" i="6"/>
  <c r="G191" i="6"/>
  <c r="E191" i="6"/>
  <c r="E190" i="6"/>
  <c r="F190" i="6"/>
  <c r="G190" i="6"/>
  <c r="E189" i="6"/>
  <c r="F189" i="6"/>
  <c r="G189" i="6"/>
  <c r="G188" i="6"/>
  <c r="E188" i="6"/>
  <c r="F188" i="6"/>
  <c r="F187" i="6"/>
  <c r="G187" i="6"/>
  <c r="E187" i="6"/>
  <c r="E186" i="6"/>
  <c r="F186" i="6"/>
  <c r="G186" i="6"/>
  <c r="E185" i="6"/>
  <c r="F185" i="6"/>
  <c r="G185" i="6"/>
  <c r="G184" i="6"/>
  <c r="E184" i="6"/>
  <c r="F184" i="6"/>
  <c r="F183" i="6"/>
  <c r="G183" i="6"/>
  <c r="E183" i="6"/>
  <c r="E182" i="6"/>
  <c r="F182" i="6"/>
  <c r="G182" i="6"/>
  <c r="E181" i="6"/>
  <c r="F181" i="6"/>
  <c r="G181" i="6"/>
  <c r="G180" i="6"/>
  <c r="E180" i="6"/>
  <c r="F180" i="6"/>
  <c r="F179" i="6"/>
  <c r="G179" i="6"/>
  <c r="E179" i="6"/>
  <c r="E178" i="6"/>
  <c r="F178" i="6"/>
  <c r="G178" i="6"/>
  <c r="E177" i="6"/>
  <c r="F177" i="6"/>
  <c r="G177" i="6"/>
  <c r="G176" i="6"/>
  <c r="E176" i="6"/>
  <c r="F176" i="6"/>
  <c r="F175" i="6"/>
  <c r="G175" i="6"/>
  <c r="E175" i="6"/>
  <c r="E174" i="6"/>
  <c r="F174" i="6"/>
  <c r="G174" i="6"/>
  <c r="E173" i="6"/>
  <c r="F173" i="6"/>
  <c r="G173" i="6"/>
  <c r="G172" i="6"/>
  <c r="E172" i="6"/>
  <c r="F172" i="6"/>
  <c r="F171" i="6"/>
  <c r="G171" i="6"/>
  <c r="E171" i="6"/>
  <c r="E170" i="6"/>
  <c r="F170" i="6"/>
  <c r="G170" i="6"/>
  <c r="E169" i="6"/>
  <c r="F169" i="6"/>
  <c r="G169" i="6"/>
  <c r="G168" i="6"/>
  <c r="E168" i="6"/>
  <c r="F168" i="6"/>
  <c r="F167" i="6"/>
  <c r="G167" i="6"/>
  <c r="E167" i="6"/>
  <c r="E166" i="6"/>
  <c r="F166" i="6"/>
  <c r="G166" i="6"/>
  <c r="E165" i="6"/>
  <c r="F165" i="6"/>
  <c r="G165" i="6"/>
  <c r="G164" i="6"/>
  <c r="E164" i="6"/>
  <c r="F164" i="6"/>
  <c r="F163" i="6"/>
  <c r="G163" i="6"/>
  <c r="E163" i="6"/>
  <c r="E162" i="6"/>
  <c r="F162" i="6"/>
  <c r="G162" i="6"/>
  <c r="E161" i="6"/>
  <c r="F161" i="6"/>
  <c r="G161" i="6"/>
  <c r="G160" i="6"/>
  <c r="E160" i="6"/>
  <c r="F160" i="6"/>
  <c r="F159" i="6"/>
  <c r="G159" i="6"/>
  <c r="E159" i="6"/>
  <c r="E158" i="6"/>
  <c r="F158" i="6"/>
  <c r="G158" i="6"/>
  <c r="E157" i="6"/>
  <c r="F157" i="6"/>
  <c r="G157" i="6"/>
  <c r="G156" i="6"/>
  <c r="E156" i="6"/>
  <c r="F156" i="6"/>
  <c r="F155" i="6"/>
  <c r="G155" i="6"/>
  <c r="E155" i="6"/>
  <c r="E154" i="6"/>
  <c r="F154" i="6"/>
  <c r="G154" i="6"/>
  <c r="E153" i="6"/>
  <c r="F153" i="6"/>
  <c r="G153" i="6"/>
  <c r="G152" i="6"/>
  <c r="E152" i="6"/>
  <c r="F152" i="6"/>
  <c r="F151" i="6"/>
  <c r="G151" i="6"/>
  <c r="E151" i="6"/>
  <c r="E150" i="6"/>
  <c r="F150" i="6"/>
  <c r="G150" i="6"/>
  <c r="E149" i="6"/>
  <c r="F149" i="6"/>
  <c r="G149" i="6"/>
  <c r="G148" i="6"/>
  <c r="E148" i="6"/>
  <c r="F148" i="6"/>
  <c r="F147" i="6"/>
  <c r="G147" i="6"/>
  <c r="E147" i="6"/>
  <c r="E146" i="6"/>
  <c r="F146" i="6"/>
  <c r="G146" i="6"/>
  <c r="E145" i="6"/>
  <c r="F145" i="6"/>
  <c r="G145" i="6"/>
  <c r="G144" i="6"/>
  <c r="E144" i="6"/>
  <c r="F144" i="6"/>
  <c r="F143" i="6"/>
  <c r="G143" i="6"/>
  <c r="E143" i="6"/>
  <c r="E142" i="6"/>
  <c r="F142" i="6"/>
  <c r="G142" i="6"/>
  <c r="E141" i="6"/>
  <c r="F141" i="6"/>
  <c r="G141" i="6"/>
  <c r="G140" i="6"/>
  <c r="E140" i="6"/>
  <c r="F140" i="6"/>
  <c r="F139" i="6"/>
  <c r="G139" i="6"/>
  <c r="E139" i="6"/>
  <c r="E138" i="6"/>
  <c r="F138" i="6"/>
  <c r="G138" i="6"/>
  <c r="E137" i="6"/>
  <c r="F137" i="6"/>
  <c r="G137" i="6"/>
  <c r="G136" i="6"/>
  <c r="E136" i="6"/>
  <c r="F136" i="6"/>
  <c r="F135" i="6"/>
  <c r="G135" i="6"/>
  <c r="E135" i="6"/>
  <c r="E134" i="6"/>
  <c r="F134" i="6"/>
  <c r="G134" i="6"/>
  <c r="E133" i="6"/>
  <c r="F133" i="6"/>
  <c r="G133" i="6"/>
  <c r="G132" i="6"/>
  <c r="E132" i="6"/>
  <c r="F132" i="6"/>
  <c r="F131" i="6"/>
  <c r="G131" i="6"/>
  <c r="E131" i="6"/>
  <c r="E130" i="6"/>
  <c r="F130" i="6"/>
  <c r="G130" i="6"/>
  <c r="E129" i="6"/>
  <c r="F129" i="6"/>
  <c r="G129" i="6"/>
  <c r="G128" i="6"/>
  <c r="E128" i="6"/>
  <c r="F128" i="6"/>
  <c r="F127" i="6"/>
  <c r="G127" i="6"/>
  <c r="E127" i="6"/>
  <c r="E126" i="6"/>
  <c r="F126" i="6"/>
  <c r="G126" i="6"/>
  <c r="E125" i="6"/>
  <c r="F125" i="6"/>
  <c r="G125" i="6"/>
  <c r="G124" i="6"/>
  <c r="E124" i="6"/>
  <c r="F124" i="6"/>
  <c r="F123" i="6"/>
  <c r="G123" i="6"/>
  <c r="E123" i="6"/>
  <c r="E122" i="6"/>
  <c r="F122" i="6"/>
  <c r="G122" i="6"/>
  <c r="E121" i="6"/>
  <c r="F121" i="6"/>
  <c r="G121" i="6"/>
  <c r="G120" i="6"/>
  <c r="E120" i="6"/>
  <c r="F120" i="6"/>
  <c r="F119" i="6"/>
  <c r="G119" i="6"/>
  <c r="E119" i="6"/>
  <c r="E118" i="6"/>
  <c r="F118" i="6"/>
  <c r="G118" i="6"/>
  <c r="E117" i="6"/>
  <c r="F117" i="6"/>
  <c r="G117" i="6"/>
  <c r="G116" i="6"/>
  <c r="E116" i="6"/>
  <c r="F116" i="6"/>
  <c r="F115" i="6"/>
  <c r="G115" i="6"/>
  <c r="E115" i="6"/>
  <c r="E114" i="6"/>
  <c r="F114" i="6"/>
  <c r="G114" i="6"/>
  <c r="G113" i="6"/>
  <c r="E113" i="6"/>
  <c r="F113" i="6"/>
  <c r="G109" i="6"/>
  <c r="A272" i="1"/>
  <c r="A272" i="6" s="1"/>
  <c r="F8" i="3"/>
  <c r="F9" i="3"/>
  <c r="F7" i="3"/>
  <c r="E112" i="6"/>
  <c r="G112" i="6"/>
  <c r="G110" i="6"/>
  <c r="E110" i="6"/>
  <c r="F110" i="6"/>
  <c r="F109" i="6"/>
  <c r="E109" i="6"/>
  <c r="E108" i="6"/>
  <c r="G108" i="6"/>
  <c r="F107" i="6"/>
  <c r="G107" i="6"/>
  <c r="G106" i="6"/>
  <c r="E106" i="6"/>
  <c r="F106" i="6"/>
  <c r="F105" i="6"/>
  <c r="G105" i="6"/>
  <c r="E105" i="6"/>
  <c r="E104" i="6"/>
  <c r="F104" i="6"/>
  <c r="G104" i="6"/>
  <c r="E103" i="6"/>
  <c r="F103" i="6"/>
  <c r="G103" i="6"/>
  <c r="G102" i="6"/>
  <c r="E102" i="6"/>
  <c r="F102" i="6"/>
  <c r="F101" i="6"/>
  <c r="G101" i="6"/>
  <c r="E101" i="6"/>
  <c r="E100" i="6"/>
  <c r="F100" i="6"/>
  <c r="G100" i="6"/>
  <c r="E99" i="6"/>
  <c r="F99" i="6"/>
  <c r="G99" i="6"/>
  <c r="G98" i="6"/>
  <c r="E98" i="6"/>
  <c r="F98" i="6"/>
  <c r="F97" i="6"/>
  <c r="G97" i="6"/>
  <c r="E97" i="6"/>
  <c r="E96" i="6"/>
  <c r="F96" i="6"/>
  <c r="G96" i="6"/>
  <c r="E95" i="6"/>
  <c r="F95" i="6"/>
  <c r="G95" i="6"/>
  <c r="G94" i="6"/>
  <c r="E94" i="6"/>
  <c r="F94" i="6"/>
  <c r="F93" i="6"/>
  <c r="G93" i="6"/>
  <c r="E93" i="6"/>
  <c r="E92" i="6"/>
  <c r="F92" i="6"/>
  <c r="G92" i="6"/>
  <c r="E91" i="6"/>
  <c r="F91" i="6"/>
  <c r="G91" i="6"/>
  <c r="G90" i="6"/>
  <c r="E90" i="6"/>
  <c r="F90" i="6"/>
  <c r="F89" i="6"/>
  <c r="G89" i="6"/>
  <c r="E89" i="6"/>
  <c r="E88" i="6"/>
  <c r="F88" i="6"/>
  <c r="G88" i="6"/>
  <c r="E87" i="6"/>
  <c r="F87" i="6"/>
  <c r="G87" i="6"/>
  <c r="G86" i="6"/>
  <c r="E86" i="6"/>
  <c r="F86" i="6"/>
  <c r="F85" i="6"/>
  <c r="G85" i="6"/>
  <c r="E85" i="6"/>
  <c r="E84" i="6"/>
  <c r="F84" i="6"/>
  <c r="G84" i="6"/>
  <c r="E83" i="6"/>
  <c r="F83" i="6"/>
  <c r="G83" i="6"/>
  <c r="G82" i="6"/>
  <c r="E82" i="6"/>
  <c r="F82" i="6"/>
  <c r="F81" i="6"/>
  <c r="G81" i="6"/>
  <c r="E81" i="6"/>
  <c r="E80" i="6"/>
  <c r="F80" i="6"/>
  <c r="G80" i="6"/>
  <c r="E79" i="6"/>
  <c r="F79" i="6"/>
  <c r="G79" i="6"/>
  <c r="G78" i="6"/>
  <c r="E78" i="6"/>
  <c r="F78" i="6"/>
  <c r="F77" i="6"/>
  <c r="G77" i="6"/>
  <c r="E77" i="6"/>
  <c r="E76" i="6"/>
  <c r="F76" i="6"/>
  <c r="G76" i="6"/>
  <c r="E75" i="6"/>
  <c r="F75" i="6"/>
  <c r="G75" i="6"/>
  <c r="G74" i="6"/>
  <c r="E74" i="6"/>
  <c r="F74" i="6"/>
  <c r="F73" i="6"/>
  <c r="G73" i="6"/>
  <c r="E73" i="6"/>
  <c r="E72" i="6"/>
  <c r="F72" i="6"/>
  <c r="G72" i="6"/>
  <c r="E71" i="6"/>
  <c r="F71" i="6"/>
  <c r="G71" i="6"/>
  <c r="G70" i="6"/>
  <c r="E70" i="6"/>
  <c r="F70" i="6"/>
  <c r="F69" i="6"/>
  <c r="G69" i="6"/>
  <c r="E69" i="6"/>
  <c r="E68" i="6"/>
  <c r="F68" i="6"/>
  <c r="G68" i="6"/>
  <c r="E67" i="6"/>
  <c r="F67" i="6"/>
  <c r="G67" i="6"/>
  <c r="G66" i="6"/>
  <c r="E66" i="6"/>
  <c r="F66" i="6"/>
  <c r="F65" i="6"/>
  <c r="G65" i="6"/>
  <c r="E65" i="6"/>
  <c r="E64" i="6"/>
  <c r="F64" i="6"/>
  <c r="G64" i="6"/>
  <c r="E63" i="6"/>
  <c r="F63" i="6"/>
  <c r="G63" i="6"/>
  <c r="G62" i="6"/>
  <c r="E62" i="6"/>
  <c r="F62" i="6"/>
  <c r="F61" i="6"/>
  <c r="G61" i="6"/>
  <c r="E61" i="6"/>
  <c r="E60" i="6"/>
  <c r="F60" i="6"/>
  <c r="G60" i="6"/>
  <c r="E59" i="6"/>
  <c r="F59" i="6"/>
  <c r="G59" i="6"/>
  <c r="G58" i="6"/>
  <c r="E58" i="6"/>
  <c r="F58" i="6"/>
  <c r="F57" i="6"/>
  <c r="G57" i="6"/>
  <c r="E57" i="6"/>
  <c r="E56" i="6"/>
  <c r="F56" i="6"/>
  <c r="G56" i="6"/>
  <c r="E55" i="6"/>
  <c r="F55" i="6"/>
  <c r="G55" i="6"/>
  <c r="G54" i="6"/>
  <c r="E54" i="6"/>
  <c r="F54" i="6"/>
  <c r="F53" i="6"/>
  <c r="G53" i="6"/>
  <c r="E53" i="6"/>
  <c r="E52" i="6"/>
  <c r="F52" i="6"/>
  <c r="G52" i="6"/>
  <c r="E51" i="6"/>
  <c r="F51" i="6"/>
  <c r="G51" i="6"/>
  <c r="G50" i="6"/>
  <c r="E50" i="6"/>
  <c r="F50" i="6"/>
  <c r="F49" i="6"/>
  <c r="G49" i="6"/>
  <c r="E49" i="6"/>
  <c r="E48" i="6"/>
  <c r="F48" i="6"/>
  <c r="G48" i="6"/>
  <c r="E47" i="6"/>
  <c r="F47" i="6"/>
  <c r="G47" i="6"/>
  <c r="G46" i="6"/>
  <c r="E46" i="6"/>
  <c r="F46" i="6"/>
  <c r="F45" i="6"/>
  <c r="G45" i="6"/>
  <c r="E45" i="6"/>
  <c r="E44" i="6"/>
  <c r="F44" i="6"/>
  <c r="G44" i="6"/>
  <c r="E43" i="6"/>
  <c r="F43" i="6"/>
  <c r="G43" i="6"/>
  <c r="G42" i="6"/>
  <c r="E42" i="6"/>
  <c r="F42" i="6"/>
  <c r="F41" i="6"/>
  <c r="G41" i="6"/>
  <c r="E41" i="6"/>
  <c r="E40" i="6"/>
  <c r="F40" i="6"/>
  <c r="G40" i="6"/>
  <c r="E39" i="6"/>
  <c r="F39" i="6"/>
  <c r="G39" i="6"/>
  <c r="G38" i="6"/>
  <c r="E38" i="6"/>
  <c r="F38" i="6"/>
  <c r="F37" i="6"/>
  <c r="G37" i="6"/>
  <c r="E37" i="6"/>
  <c r="E36" i="6"/>
  <c r="F36" i="6"/>
  <c r="G36" i="6"/>
  <c r="E35" i="6"/>
  <c r="F35" i="6"/>
  <c r="G35" i="6"/>
  <c r="G34" i="6"/>
  <c r="E34" i="6"/>
  <c r="F34" i="6"/>
  <c r="F33" i="6"/>
  <c r="G33" i="6"/>
  <c r="E33" i="6"/>
  <c r="E32" i="6"/>
  <c r="F32" i="6"/>
  <c r="G32" i="6"/>
  <c r="E31" i="6"/>
  <c r="F31" i="6"/>
  <c r="G31" i="6"/>
  <c r="G30" i="6"/>
  <c r="E30" i="6"/>
  <c r="F30" i="6"/>
  <c r="F29" i="6"/>
  <c r="G29" i="6"/>
  <c r="E29" i="6"/>
  <c r="E28" i="6"/>
  <c r="F28" i="6"/>
  <c r="G28" i="6"/>
  <c r="E27" i="6"/>
  <c r="F27" i="6"/>
  <c r="G27" i="6"/>
  <c r="G26" i="6"/>
  <c r="E26" i="6"/>
  <c r="F26" i="6"/>
  <c r="F25" i="6"/>
  <c r="G25" i="6"/>
  <c r="E25" i="6"/>
  <c r="E24" i="6"/>
  <c r="F24" i="6"/>
  <c r="G24" i="6"/>
  <c r="E23" i="6"/>
  <c r="F23" i="6"/>
  <c r="G23" i="6"/>
  <c r="G22" i="6"/>
  <c r="E22" i="6"/>
  <c r="F22" i="6"/>
  <c r="F21" i="6"/>
  <c r="G21" i="6"/>
  <c r="E21" i="6"/>
  <c r="E20" i="6"/>
  <c r="F20" i="6"/>
  <c r="G20" i="6"/>
  <c r="E19" i="6"/>
  <c r="F19" i="6"/>
  <c r="G19" i="6"/>
  <c r="G18" i="6"/>
  <c r="E18" i="6"/>
  <c r="F18" i="6"/>
  <c r="F17" i="6"/>
  <c r="G17" i="6"/>
  <c r="E17" i="6"/>
  <c r="E16" i="6"/>
  <c r="F16" i="6"/>
  <c r="G16" i="6"/>
  <c r="E15" i="6"/>
  <c r="F15" i="6"/>
  <c r="G15" i="6"/>
  <c r="G14" i="6"/>
  <c r="E14" i="6"/>
  <c r="F14" i="6"/>
  <c r="F13" i="6"/>
  <c r="G13" i="6"/>
  <c r="E13" i="6"/>
  <c r="E12" i="6"/>
  <c r="F12" i="6"/>
  <c r="G12" i="6"/>
  <c r="E11" i="6"/>
  <c r="F11" i="6"/>
  <c r="G11" i="6"/>
  <c r="G10" i="6"/>
  <c r="E10" i="6"/>
  <c r="F10" i="6"/>
  <c r="F9" i="6"/>
  <c r="G9" i="6"/>
  <c r="E9" i="6"/>
  <c r="E8" i="6"/>
  <c r="F8" i="6"/>
  <c r="G8" i="6"/>
  <c r="E7" i="6"/>
  <c r="F7" i="6"/>
  <c r="G7" i="6"/>
  <c r="G6" i="6"/>
  <c r="E6" i="6"/>
  <c r="F6" i="6"/>
  <c r="F5" i="6"/>
  <c r="G5" i="6"/>
  <c r="E5" i="6"/>
  <c r="A278" i="1"/>
  <c r="A278" i="6" s="1"/>
  <c r="A276" i="1"/>
  <c r="A276" i="6" s="1"/>
  <c r="A269" i="1"/>
  <c r="A269" i="6" s="1"/>
  <c r="A258" i="1"/>
  <c r="A256" i="1"/>
  <c r="A249" i="1"/>
  <c r="A247" i="1"/>
  <c r="A226" i="1"/>
  <c r="A224" i="1"/>
  <c r="A217" i="1"/>
  <c r="A215" i="1"/>
  <c r="A194" i="1"/>
  <c r="A192" i="1"/>
  <c r="A185" i="1"/>
  <c r="A183" i="1"/>
  <c r="A162" i="1"/>
  <c r="A160" i="1"/>
  <c r="A153" i="1"/>
  <c r="A151" i="1"/>
  <c r="A130" i="1"/>
  <c r="A128" i="1"/>
  <c r="A121" i="1"/>
  <c r="A119" i="1"/>
  <c r="A98" i="1"/>
  <c r="A96" i="1"/>
  <c r="A89" i="1"/>
  <c r="A87" i="1"/>
  <c r="A66" i="1"/>
  <c r="A39" i="1"/>
  <c r="A279" i="1"/>
  <c r="A279" i="6" s="1"/>
  <c r="A242" i="1"/>
  <c r="A240" i="1"/>
  <c r="A233" i="1"/>
  <c r="A231" i="1"/>
  <c r="A210" i="1"/>
  <c r="A208" i="1"/>
  <c r="A201" i="1"/>
  <c r="A199" i="1"/>
  <c r="A178" i="1"/>
  <c r="A176" i="1"/>
  <c r="A169" i="1"/>
  <c r="A167" i="1"/>
  <c r="A146" i="1"/>
  <c r="A144" i="1"/>
  <c r="A137" i="1"/>
  <c r="A135" i="1"/>
  <c r="A114" i="1"/>
  <c r="A112" i="1"/>
  <c r="A105" i="1"/>
  <c r="A103" i="1"/>
  <c r="A82" i="1"/>
  <c r="A80" i="1"/>
  <c r="A73" i="1"/>
  <c r="A71" i="1"/>
  <c r="A7" i="1"/>
  <c r="A10" i="1"/>
  <c r="A8" i="1"/>
  <c r="A64" i="1"/>
  <c r="A57" i="1"/>
  <c r="A50" i="1"/>
  <c r="A48" i="1"/>
  <c r="A41" i="1"/>
  <c r="A34" i="1"/>
  <c r="A32" i="1"/>
  <c r="A25" i="1"/>
  <c r="A18" i="1"/>
  <c r="A16" i="1"/>
  <c r="A9" i="1"/>
  <c r="A277" i="1"/>
  <c r="A277" i="6" s="1"/>
  <c r="A270" i="1"/>
  <c r="A270" i="6" s="1"/>
  <c r="A268" i="6"/>
  <c r="A261" i="1"/>
  <c r="A254" i="1"/>
  <c r="A252" i="1"/>
  <c r="A245" i="1"/>
  <c r="A238" i="1"/>
  <c r="A236" i="1"/>
  <c r="A229" i="1"/>
  <c r="A222" i="1"/>
  <c r="A220" i="1"/>
  <c r="A213" i="1"/>
  <c r="A206" i="1"/>
  <c r="A204" i="1"/>
  <c r="A197" i="1"/>
  <c r="A190" i="1"/>
  <c r="A188" i="1"/>
  <c r="A181" i="1"/>
  <c r="A174" i="1"/>
  <c r="A172" i="1"/>
  <c r="A165" i="1"/>
  <c r="A158" i="1"/>
  <c r="A156" i="1"/>
  <c r="A149" i="1"/>
  <c r="A142" i="1"/>
  <c r="A140" i="1"/>
  <c r="A133" i="1"/>
  <c r="A126" i="1"/>
  <c r="A124" i="1"/>
  <c r="A117" i="1"/>
  <c r="A110" i="1"/>
  <c r="A108" i="1"/>
  <c r="A101" i="1"/>
  <c r="A94" i="1"/>
  <c r="A92" i="1"/>
  <c r="A85" i="1"/>
  <c r="A78" i="1"/>
  <c r="A76" i="1"/>
  <c r="A69" i="1"/>
  <c r="A62" i="1"/>
  <c r="A60" i="1"/>
  <c r="A53" i="1"/>
  <c r="A46" i="1"/>
  <c r="A44" i="1"/>
  <c r="A37" i="1"/>
  <c r="A30" i="1"/>
  <c r="A28" i="1"/>
  <c r="A21" i="1"/>
  <c r="A14" i="1"/>
  <c r="A12" i="1"/>
  <c r="A5" i="1"/>
  <c r="C9" i="3" l="1"/>
  <c r="C8" i="3"/>
  <c r="C7" i="3"/>
  <c r="A261" i="6"/>
  <c r="F263" i="6"/>
  <c r="G263" i="6"/>
  <c r="E263" i="6"/>
  <c r="E265" i="6"/>
  <c r="F265" i="6"/>
  <c r="G265" i="6"/>
  <c r="B9" i="3"/>
  <c r="B8" i="3"/>
  <c r="B7" i="3"/>
  <c r="C327" i="5"/>
  <c r="C316" i="5" s="1"/>
  <c r="D327" i="5"/>
  <c r="E327" i="5"/>
  <c r="E328" i="5"/>
  <c r="D328" i="5"/>
  <c r="C328" i="5"/>
  <c r="A8" i="5"/>
  <c r="A9" i="5"/>
  <c r="A10" i="5"/>
  <c r="A11" i="5"/>
  <c r="A12" i="5"/>
  <c r="A13" i="5"/>
  <c r="A14" i="5"/>
  <c r="A15" i="5"/>
  <c r="A16" i="5"/>
  <c r="A17" i="5"/>
  <c r="A18" i="5"/>
  <c r="A21" i="5"/>
  <c r="A20" i="5" s="1"/>
  <c r="A22" i="5"/>
  <c r="A23" i="5"/>
  <c r="A24" i="5"/>
  <c r="A25" i="5"/>
  <c r="A26" i="5"/>
  <c r="A27" i="5"/>
  <c r="A28" i="5"/>
  <c r="A29" i="5"/>
  <c r="A30" i="5"/>
  <c r="A31" i="5"/>
  <c r="A32" i="5"/>
  <c r="A35" i="5"/>
  <c r="A34" i="5" s="1"/>
  <c r="A36" i="5"/>
  <c r="A37" i="5"/>
  <c r="A38" i="5"/>
  <c r="A39" i="5"/>
  <c r="A40" i="5"/>
  <c r="A41" i="5"/>
  <c r="A42" i="5"/>
  <c r="A43" i="5"/>
  <c r="A44" i="5"/>
  <c r="A45" i="5"/>
  <c r="A46" i="5"/>
  <c r="A49" i="5"/>
  <c r="A48" i="5" s="1"/>
  <c r="A50" i="5"/>
  <c r="A51" i="5"/>
  <c r="A52" i="5"/>
  <c r="A53" i="5"/>
  <c r="A54" i="5"/>
  <c r="A55" i="5"/>
  <c r="A56" i="5"/>
  <c r="A57" i="5"/>
  <c r="A58" i="5"/>
  <c r="A59" i="5"/>
  <c r="A60" i="5"/>
  <c r="A63" i="5"/>
  <c r="A62" i="5" s="1"/>
  <c r="A64" i="5"/>
  <c r="A65" i="5"/>
  <c r="A66" i="5"/>
  <c r="A67" i="5"/>
  <c r="A68" i="5"/>
  <c r="A69" i="5"/>
  <c r="A70" i="5"/>
  <c r="A71" i="5"/>
  <c r="A72" i="5"/>
  <c r="A73" i="5"/>
  <c r="A74" i="5"/>
  <c r="A77" i="5"/>
  <c r="A76" i="5" s="1"/>
  <c r="A78" i="5"/>
  <c r="A79" i="5"/>
  <c r="A80" i="5"/>
  <c r="A81" i="5"/>
  <c r="A82" i="5"/>
  <c r="A83" i="5"/>
  <c r="A84" i="5"/>
  <c r="A85" i="5"/>
  <c r="A86" i="5"/>
  <c r="A87" i="5"/>
  <c r="A88" i="5"/>
  <c r="A91" i="5"/>
  <c r="A90" i="5" s="1"/>
  <c r="A92" i="5"/>
  <c r="A93" i="5"/>
  <c r="A94" i="5"/>
  <c r="A95" i="5"/>
  <c r="A96" i="5"/>
  <c r="A97" i="5"/>
  <c r="A98" i="5"/>
  <c r="A99" i="5"/>
  <c r="A100" i="5"/>
  <c r="A101" i="5"/>
  <c r="A102" i="5"/>
  <c r="A105" i="5"/>
  <c r="A104" i="5" s="1"/>
  <c r="A106" i="5"/>
  <c r="A107" i="5"/>
  <c r="A108" i="5"/>
  <c r="A109" i="5"/>
  <c r="A110" i="5"/>
  <c r="A111" i="5"/>
  <c r="A112" i="5"/>
  <c r="A113" i="5"/>
  <c r="A114" i="5"/>
  <c r="A115" i="5"/>
  <c r="A116" i="5"/>
  <c r="A119" i="5"/>
  <c r="A118" i="5" s="1"/>
  <c r="A120" i="5"/>
  <c r="A121" i="5"/>
  <c r="A122" i="5"/>
  <c r="A123" i="5"/>
  <c r="A124" i="5"/>
  <c r="A125" i="5"/>
  <c r="A126" i="5"/>
  <c r="A127" i="5"/>
  <c r="A128" i="5"/>
  <c r="A129" i="5"/>
  <c r="A130" i="5"/>
  <c r="A133" i="5"/>
  <c r="A132" i="5" s="1"/>
  <c r="A134" i="5"/>
  <c r="A135" i="5"/>
  <c r="A136" i="5"/>
  <c r="A137" i="5"/>
  <c r="A138" i="5"/>
  <c r="A139" i="5"/>
  <c r="A140" i="5"/>
  <c r="A141" i="5"/>
  <c r="A142" i="5"/>
  <c r="A143" i="5"/>
  <c r="A144" i="5"/>
  <c r="A147" i="5"/>
  <c r="A146" i="5" s="1"/>
  <c r="A148" i="5"/>
  <c r="A149" i="5"/>
  <c r="A150" i="5"/>
  <c r="A151" i="5"/>
  <c r="A152" i="5"/>
  <c r="A153" i="5"/>
  <c r="A154" i="5"/>
  <c r="A155" i="5"/>
  <c r="A156" i="5"/>
  <c r="A157" i="5"/>
  <c r="A158" i="5"/>
  <c r="A161" i="5"/>
  <c r="A160" i="5" s="1"/>
  <c r="A162" i="5"/>
  <c r="A163" i="5"/>
  <c r="A164" i="5"/>
  <c r="A165" i="5"/>
  <c r="A166" i="5"/>
  <c r="A167" i="5"/>
  <c r="A168" i="5"/>
  <c r="A169" i="5"/>
  <c r="A170" i="5"/>
  <c r="A171" i="5"/>
  <c r="A172" i="5"/>
  <c r="A175" i="5"/>
  <c r="A174" i="5" s="1"/>
  <c r="A176" i="5"/>
  <c r="A177" i="5"/>
  <c r="A178" i="5"/>
  <c r="A179" i="5"/>
  <c r="A180" i="5"/>
  <c r="A181" i="5"/>
  <c r="A182" i="5"/>
  <c r="A183" i="5"/>
  <c r="A184" i="5"/>
  <c r="A185" i="5"/>
  <c r="A186" i="5"/>
  <c r="A189" i="5"/>
  <c r="A188" i="5" s="1"/>
  <c r="A190" i="5"/>
  <c r="A191" i="5"/>
  <c r="A192" i="5"/>
  <c r="A193" i="5"/>
  <c r="A194" i="5"/>
  <c r="A195" i="5"/>
  <c r="A196" i="5"/>
  <c r="A197" i="5"/>
  <c r="A198" i="5"/>
  <c r="A199" i="5"/>
  <c r="A200" i="5"/>
  <c r="A203" i="5"/>
  <c r="A202" i="5" s="1"/>
  <c r="A204" i="5"/>
  <c r="A205" i="5"/>
  <c r="A206" i="5"/>
  <c r="A207" i="5"/>
  <c r="A208" i="5"/>
  <c r="A209" i="5"/>
  <c r="A210" i="5"/>
  <c r="A211" i="5"/>
  <c r="A212" i="5"/>
  <c r="A213" i="5"/>
  <c r="A214" i="5"/>
  <c r="A217" i="5"/>
  <c r="A216" i="5" s="1"/>
  <c r="A218" i="5"/>
  <c r="A219" i="5"/>
  <c r="A220" i="5"/>
  <c r="A221" i="5"/>
  <c r="A222" i="5"/>
  <c r="A223" i="5"/>
  <c r="A224" i="5"/>
  <c r="A225" i="5"/>
  <c r="A226" i="5"/>
  <c r="A227" i="5"/>
  <c r="A228" i="5"/>
  <c r="A231" i="5"/>
  <c r="A230" i="5" s="1"/>
  <c r="A232" i="5"/>
  <c r="A233" i="5"/>
  <c r="A234" i="5"/>
  <c r="A235" i="5"/>
  <c r="A236" i="5"/>
  <c r="A237" i="5"/>
  <c r="A238" i="5"/>
  <c r="A239" i="5"/>
  <c r="A240" i="5"/>
  <c r="A241" i="5"/>
  <c r="A242" i="5"/>
  <c r="A245" i="5"/>
  <c r="A244" i="5" s="1"/>
  <c r="A246" i="5"/>
  <c r="A247" i="5"/>
  <c r="A248" i="5"/>
  <c r="A249" i="5"/>
  <c r="A250" i="5"/>
  <c r="A251" i="5"/>
  <c r="A252" i="5"/>
  <c r="A253" i="5"/>
  <c r="A254" i="5"/>
  <c r="A255" i="5"/>
  <c r="A256" i="5"/>
  <c r="A259" i="5"/>
  <c r="A258" i="5" s="1"/>
  <c r="A260" i="5"/>
  <c r="A261" i="5"/>
  <c r="A262" i="5"/>
  <c r="A263" i="5"/>
  <c r="A264" i="5"/>
  <c r="A265" i="5"/>
  <c r="A266" i="5"/>
  <c r="A267" i="5"/>
  <c r="A268" i="5"/>
  <c r="A269" i="5"/>
  <c r="A270" i="5"/>
  <c r="A273" i="5"/>
  <c r="A272" i="5" s="1"/>
  <c r="A274" i="5"/>
  <c r="A275" i="5"/>
  <c r="A276" i="5"/>
  <c r="A277" i="5"/>
  <c r="A278" i="5"/>
  <c r="A279" i="5"/>
  <c r="A280" i="5"/>
  <c r="A281" i="5"/>
  <c r="A282" i="5"/>
  <c r="A283" i="5"/>
  <c r="A284" i="5"/>
  <c r="A287" i="5"/>
  <c r="A286" i="5" s="1"/>
  <c r="A288" i="5"/>
  <c r="A289" i="5"/>
  <c r="A290" i="5"/>
  <c r="A291" i="5"/>
  <c r="A292" i="5"/>
  <c r="A293" i="5"/>
  <c r="A294" i="5"/>
  <c r="A295" i="5"/>
  <c r="A296" i="5"/>
  <c r="A297" i="5"/>
  <c r="A298" i="5"/>
  <c r="A301" i="5"/>
  <c r="A300" i="5" s="1"/>
  <c r="A302" i="5"/>
  <c r="A303" i="5"/>
  <c r="A304" i="5"/>
  <c r="A305" i="5"/>
  <c r="A306" i="5"/>
  <c r="A307" i="5"/>
  <c r="A308" i="5"/>
  <c r="A7" i="5"/>
  <c r="A6" i="5" s="1"/>
  <c r="C315" i="5" l="1"/>
  <c r="C330" i="5"/>
  <c r="C317" i="5" s="1"/>
  <c r="E330" i="5"/>
  <c r="E317" i="5" s="1"/>
  <c r="D330" i="5"/>
  <c r="D317" i="5" s="1"/>
  <c r="E9" i="3"/>
  <c r="I9" i="3" s="1"/>
  <c r="E8" i="3"/>
  <c r="I8" i="3" s="1"/>
  <c r="E7" i="3"/>
  <c r="I7" i="3" s="1"/>
  <c r="E315" i="5"/>
  <c r="E316" i="5"/>
  <c r="D316" i="5"/>
  <c r="D315" i="5"/>
  <c r="G7" i="3"/>
  <c r="G9" i="3"/>
  <c r="G8" i="3"/>
  <c r="H7" i="3"/>
  <c r="H8" i="3"/>
  <c r="H9" i="3"/>
</calcChain>
</file>

<file path=xl/sharedStrings.xml><?xml version="1.0" encoding="utf-8"?>
<sst xmlns="http://schemas.openxmlformats.org/spreadsheetml/2006/main" count="191" uniqueCount="77">
  <si>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</si>
  <si>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</si>
  <si>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</si>
  <si>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</si>
  <si>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</si>
  <si>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</si>
  <si>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</si>
  <si>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</si>
  <si>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</si>
  <si>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</si>
  <si>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</si>
  <si>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</si>
  <si>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Controle para a caixa de seleção do painel</t>
  </si>
  <si>
    <t>Elaboração: CEPERJ/CEEP/COPE e COGIN</t>
  </si>
  <si>
    <t>Elaboração e cálculos de variações: CEPERJ/CEEP/COPE e COGIN</t>
  </si>
  <si>
    <t>Nota: (1) Deduzidos 15% para o FUNDEF. A partir de 2007, deduzidos 18% para o FUNDEB.</t>
  </si>
  <si>
    <t>FPM (1)</t>
  </si>
  <si>
    <t>FPE (1)</t>
  </si>
  <si>
    <t>IPI-EXP (1)</t>
  </si>
  <si>
    <t>Indicadores de Finanças Públicas do Estado do Rio de Janeiro</t>
  </si>
  <si>
    <t>Variações %</t>
  </si>
  <si>
    <t>Transferências Constitucionais</t>
  </si>
  <si>
    <t>(R$ 1.000)</t>
  </si>
  <si>
    <t>mês</t>
  </si>
  <si>
    <t>Ano</t>
  </si>
  <si>
    <t>Mês</t>
  </si>
  <si>
    <t xml:space="preserve">Fontes: Secretaria do Tesouro Nacional - STN e Secretaria de Estado de Fazenda - SEFAZ. </t>
  </si>
  <si>
    <t>IPI  - Exportação (IPI-EXP) (1)</t>
  </si>
  <si>
    <t>Período: 1998 a 2019</t>
  </si>
  <si>
    <t>Total do ano</t>
  </si>
  <si>
    <t>Fundo de Participação dos Municípios - FPM (1)</t>
  </si>
  <si>
    <t>Fundo de Participação dos Estados e do Distrito Federal - FPE (1)</t>
  </si>
  <si>
    <t>lista_ind</t>
  </si>
  <si>
    <t>Mês escolhido</t>
  </si>
  <si>
    <t>Mês anterior</t>
  </si>
  <si>
    <t>Mesmo mês escolhido, para o ano anterior</t>
  </si>
  <si>
    <t>Acumulado do ano escolhido</t>
  </si>
  <si>
    <t>Acumulado do ano anterior</t>
  </si>
  <si>
    <t>Escolha o ano/mês clicando abaixo</t>
  </si>
  <si>
    <t>Valores em R$ 1.000</t>
  </si>
  <si>
    <t>PAINEL DAS VARIAÇÕES DOS INDICADORES DE FINANÇAS PÚBLICAS DO ESTADO DO RIO DE JANEIRO</t>
  </si>
  <si>
    <t>Escolha o ano/mês de referência das variações clicando abaixo</t>
  </si>
  <si>
    <t>Indicador de Imposto sobre Circulação de Mercadorias e Serviços - ICMS do Estado do Rio de Janeiro</t>
  </si>
  <si>
    <t xml:space="preserve"> Atividades Econômicas, por setor (em reais) </t>
  </si>
  <si>
    <t>Agricultura, pecuária, produção florestal, pesca e aqüicultura</t>
  </si>
  <si>
    <t>Indústrias extrativas</t>
  </si>
  <si>
    <t>Indústrias de transformação</t>
  </si>
  <si>
    <t>Eletricidade e gás</t>
  </si>
  <si>
    <t>Água, esgoto, atividades de gestão de resíduos e descontaminação</t>
  </si>
  <si>
    <t>Construção</t>
  </si>
  <si>
    <t>Comércio; reparação de veículos automotores e motocicletas</t>
  </si>
  <si>
    <t>Transporte, armazenagem e correio</t>
  </si>
  <si>
    <t>Alojamento e alimentação</t>
  </si>
  <si>
    <t>Informação e comunicação</t>
  </si>
  <si>
    <t>Atividades financeiras, de seguros e serviços relacionados</t>
  </si>
  <si>
    <t>Atividades imobiliárias</t>
  </si>
  <si>
    <t>Atividades profissionais, científicas e técnicas</t>
  </si>
  <si>
    <t>Atividades administrativas e serviços complementares</t>
  </si>
  <si>
    <t>Administração pública, defesa e seguridade social</t>
  </si>
  <si>
    <t>Educação</t>
  </si>
  <si>
    <t>Saúde humana e serviços sociais</t>
  </si>
  <si>
    <t>Artes, cultura, esporte e recreação</t>
  </si>
  <si>
    <t>Outras atividades de serviços</t>
  </si>
  <si>
    <t>total</t>
  </si>
  <si>
    <t>lista_icms</t>
  </si>
  <si>
    <t>anomes</t>
  </si>
  <si>
    <t>ano</t>
  </si>
  <si>
    <t>competencia</t>
  </si>
  <si>
    <t>PAINEL DAS VARIAÇÕES DA ARRECADAÇÃO DE ICMS - ESTADO DO RIO DE JANEIRO</t>
  </si>
  <si>
    <t>Atividadades econômicas - setores</t>
  </si>
  <si>
    <t>Total</t>
  </si>
  <si>
    <t xml:space="preserve">Fonte: Secretaria de Estado de Fazenda do Estado do Rio de Janeiro. </t>
  </si>
  <si>
    <t>Período: 2017 a 2019</t>
  </si>
  <si>
    <t>Períodos</t>
  </si>
  <si>
    <t>Arrecadação de ICMS (R$)</t>
  </si>
  <si>
    <t>Arrecadação de ICMS das Atividades Econômicas, por setores (R$)</t>
  </si>
  <si>
    <t xml:space="preserve">Fontes: Secretaria do Tesouro Nacional - STN e Secretaria de Estado de Fazenda -SEFAZ.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</si>
</sst>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  <numFmt numFmtId="167" formatCode="[$-416]mmm\-yy;@"/>
    <numFmt numFmtId="168" formatCode="General_)"/>
  </numFmts>
  <fonts count="3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333333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333333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8"/>
      <color rgb="FF333333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6" fillId="0" borderId="0" applyFont="0" applyFill="0" applyBorder="0" applyAlignment="0" applyProtection="0"/>
  </cellStyleXfs>
  <cellXfs count="206">
    <xf numFmtId="0" fontId="0" fillId="0" borderId="0" xfId="0"/>
    <xf numFmtId="0" fontId="1" fillId="0" borderId="0" xfId="0" applyFont="1"/>
    <xf numFmtId="0" fontId="0" fillId="2" borderId="0" xfId="0" applyFill="1"/>
    <xf numFmtId="17" fontId="0" fillId="0" borderId="0" xfId="0" applyNumberFormat="1"/>
    <xf numFmtId="17" fontId="0" fillId="2" borderId="0" xfId="0" applyNumberFormat="1" applyFill="1"/>
    <xf numFmtId="0" fontId="8" fillId="0" borderId="0" xfId="0" applyFont="1"/>
    <xf numFmtId="0" fontId="10" fillId="4" borderId="0" xfId="1" applyFont="1" applyFill="1"/>
    <xf numFmtId="17" fontId="11" fillId="4" borderId="0" xfId="1" applyNumberFormat="1" applyFont="1" applyFill="1" applyBorder="1" applyAlignment="1">
      <alignment horizontal="center"/>
    </xf>
    <xf numFmtId="0" fontId="13" fillId="0" borderId="0" xfId="0" applyFont="1"/>
    <xf numFmtId="17" fontId="15" fillId="0" borderId="0" xfId="0" applyNumberFormat="1" applyFont="1" applyFill="1" applyBorder="1" applyAlignment="1">
      <alignment horizontal="left" vertical="center"/>
    </xf>
    <xf numFmtId="2" fontId="1" fillId="0" borderId="0" xfId="0" applyNumberFormat="1" applyFont="1" applyBorder="1"/>
    <xf numFmtId="0" fontId="0" fillId="4" borderId="0" xfId="0" applyFont="1" applyFill="1"/>
    <xf numFmtId="17" fontId="0" fillId="4" borderId="0" xfId="0" applyNumberFormat="1" applyFont="1" applyFill="1"/>
    <xf numFmtId="0" fontId="0" fillId="0" borderId="0" xfId="0" applyFont="1"/>
    <xf numFmtId="3" fontId="3" fillId="0" borderId="2" xfId="0" applyNumberFormat="1" applyFont="1" applyFill="1" applyBorder="1" applyAlignment="1" applyProtection="1"/>
    <xf numFmtId="17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3" fontId="1" fillId="0" borderId="0" xfId="0" applyNumberFormat="1" applyFont="1"/>
    <xf numFmtId="3" fontId="3" fillId="0" borderId="2" xfId="0" applyNumberFormat="1" applyFont="1" applyFill="1" applyBorder="1" applyAlignment="1">
      <alignment vertical="center"/>
    </xf>
    <xf numFmtId="3" fontId="16" fillId="0" borderId="2" xfId="0" applyNumberFormat="1" applyFont="1" applyFill="1" applyBorder="1" applyAlignment="1" applyProtection="1">
      <alignment horizontal="center" vertical="top"/>
    </xf>
    <xf numFmtId="3" fontId="16" fillId="0" borderId="2" xfId="2" applyNumberFormat="1" applyFont="1" applyFill="1" applyBorder="1" applyAlignment="1">
      <alignment horizontal="center" vertical="top"/>
    </xf>
    <xf numFmtId="3" fontId="0" fillId="0" borderId="0" xfId="0" applyNumberFormat="1"/>
    <xf numFmtId="3" fontId="3" fillId="0" borderId="2" xfId="2" applyNumberFormat="1" applyFont="1" applyFill="1" applyBorder="1" applyAlignment="1">
      <alignment horizontal="right"/>
    </xf>
    <xf numFmtId="3" fontId="3" fillId="0" borderId="2" xfId="2" applyNumberFormat="1" applyFont="1" applyFill="1" applyBorder="1"/>
    <xf numFmtId="164" fontId="1" fillId="0" borderId="0" xfId="0" applyNumberFormat="1" applyFont="1" applyBorder="1" applyAlignment="1">
      <alignment horizontal="left"/>
    </xf>
    <xf numFmtId="17" fontId="0" fillId="0" borderId="0" xfId="0" applyNumberFormat="1" applyAlignment="1">
      <alignment horizontal="left"/>
    </xf>
    <xf numFmtId="49" fontId="18" fillId="0" borderId="0" xfId="2" applyNumberFormat="1" applyFont="1" applyFill="1" applyBorder="1" applyAlignment="1" applyProtection="1">
      <alignment horizontal="right"/>
    </xf>
    <xf numFmtId="0" fontId="5" fillId="0" borderId="0" xfId="0" applyFont="1" applyAlignment="1">
      <alignment horizontal="left"/>
    </xf>
    <xf numFmtId="0" fontId="12" fillId="4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17" fillId="0" borderId="0" xfId="0" applyFont="1"/>
    <xf numFmtId="0" fontId="19" fillId="0" borderId="0" xfId="0" applyFont="1"/>
    <xf numFmtId="3" fontId="17" fillId="6" borderId="0" xfId="0" applyNumberFormat="1" applyFont="1" applyFill="1" applyBorder="1" applyAlignment="1">
      <alignment vertical="center"/>
    </xf>
    <xf numFmtId="3" fontId="17" fillId="6" borderId="5" xfId="0" applyNumberFormat="1" applyFont="1" applyFill="1" applyBorder="1" applyAlignment="1">
      <alignment vertical="center"/>
    </xf>
    <xf numFmtId="0" fontId="17" fillId="6" borderId="13" xfId="0" applyFont="1" applyFill="1" applyBorder="1" applyAlignment="1">
      <alignment horizontal="left"/>
    </xf>
    <xf numFmtId="0" fontId="17" fillId="6" borderId="14" xfId="0" applyFont="1" applyFill="1" applyBorder="1" applyAlignment="1">
      <alignment horizontal="left"/>
    </xf>
    <xf numFmtId="165" fontId="17" fillId="6" borderId="6" xfId="0" applyNumberFormat="1" applyFont="1" applyFill="1" applyBorder="1" applyAlignment="1">
      <alignment vertical="center"/>
    </xf>
    <xf numFmtId="165" fontId="17" fillId="6" borderId="7" xfId="0" applyNumberFormat="1" applyFont="1" applyFill="1" applyBorder="1" applyAlignment="1">
      <alignment vertical="center"/>
    </xf>
    <xf numFmtId="17" fontId="17" fillId="6" borderId="0" xfId="0" applyNumberFormat="1" applyFont="1" applyFill="1" applyBorder="1" applyAlignment="1">
      <alignment horizontal="center"/>
    </xf>
    <xf numFmtId="0" fontId="19" fillId="6" borderId="6" xfId="0" applyNumberFormat="1" applyFont="1" applyFill="1" applyBorder="1" applyAlignment="1">
      <alignment horizontal="center" vertical="center"/>
    </xf>
    <xf numFmtId="3" fontId="19" fillId="6" borderId="0" xfId="0" applyNumberFormat="1" applyFont="1" applyFill="1" applyBorder="1" applyAlignment="1">
      <alignment vertical="center"/>
    </xf>
    <xf numFmtId="3" fontId="19" fillId="6" borderId="5" xfId="0" applyNumberFormat="1" applyFont="1" applyFill="1" applyBorder="1" applyAlignment="1">
      <alignment vertical="center"/>
    </xf>
    <xf numFmtId="17" fontId="19" fillId="6" borderId="0" xfId="0" applyNumberFormat="1" applyFont="1" applyFill="1" applyBorder="1" applyAlignment="1">
      <alignment horizontal="center" vertical="center"/>
    </xf>
    <xf numFmtId="17" fontId="20" fillId="6" borderId="0" xfId="0" applyNumberFormat="1" applyFont="1" applyFill="1" applyBorder="1" applyAlignment="1">
      <alignment horizontal="center" vertical="center"/>
    </xf>
    <xf numFmtId="3" fontId="19" fillId="6" borderId="8" xfId="0" applyNumberFormat="1" applyFont="1" applyFill="1" applyBorder="1" applyAlignment="1">
      <alignment vertical="center"/>
    </xf>
    <xf numFmtId="3" fontId="19" fillId="6" borderId="9" xfId="0" applyNumberFormat="1" applyFont="1" applyFill="1" applyBorder="1" applyAlignment="1">
      <alignment vertical="center"/>
    </xf>
    <xf numFmtId="0" fontId="19" fillId="6" borderId="12" xfId="0" applyFont="1" applyFill="1" applyBorder="1" applyAlignment="1">
      <alignment horizontal="left" vertical="center"/>
    </xf>
    <xf numFmtId="17" fontId="19" fillId="6" borderId="8" xfId="0" applyNumberFormat="1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9" fillId="6" borderId="1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3" fontId="0" fillId="5" borderId="0" xfId="0" applyNumberFormat="1" applyFill="1"/>
    <xf numFmtId="0" fontId="24" fillId="9" borderId="2" xfId="0" applyFont="1" applyFill="1" applyBorder="1" applyAlignment="1">
      <alignment horizontal="center" vertical="center" wrapText="1"/>
    </xf>
    <xf numFmtId="0" fontId="9" fillId="4" borderId="0" xfId="1" applyFont="1" applyFill="1" applyBorder="1" applyAlignment="1"/>
    <xf numFmtId="0" fontId="0" fillId="9" borderId="13" xfId="0" applyFont="1" applyFill="1" applyBorder="1" applyAlignment="1">
      <alignment horizontal="left" vertical="top" wrapText="1"/>
    </xf>
    <xf numFmtId="0" fontId="0" fillId="9" borderId="13" xfId="0" applyFont="1" applyFill="1" applyBorder="1" applyAlignment="1">
      <alignment horizontal="left" vertical="center" wrapText="1"/>
    </xf>
    <xf numFmtId="3" fontId="26" fillId="9" borderId="0" xfId="2" applyNumberFormat="1" applyFont="1" applyFill="1" applyBorder="1" applyAlignment="1">
      <alignment horizontal="right" vertical="center" wrapText="1"/>
    </xf>
    <xf numFmtId="4" fontId="26" fillId="9" borderId="0" xfId="0" applyNumberFormat="1" applyFont="1" applyFill="1" applyBorder="1" applyAlignment="1">
      <alignment horizontal="right" vertical="center" wrapText="1"/>
    </xf>
    <xf numFmtId="0" fontId="22" fillId="10" borderId="14" xfId="0" applyFont="1" applyFill="1" applyBorder="1" applyAlignment="1">
      <alignment horizontal="left" vertical="center" wrapText="1"/>
    </xf>
    <xf numFmtId="3" fontId="25" fillId="10" borderId="6" xfId="2" applyNumberFormat="1" applyFont="1" applyFill="1" applyBorder="1" applyAlignment="1">
      <alignment horizontal="right" vertical="center" wrapText="1"/>
    </xf>
    <xf numFmtId="4" fontId="25" fillId="10" borderId="6" xfId="0" applyNumberFormat="1" applyFont="1" applyFill="1" applyBorder="1" applyAlignment="1">
      <alignment horizontal="right" vertical="center" wrapText="1"/>
    </xf>
    <xf numFmtId="0" fontId="29" fillId="14" borderId="12" xfId="1" applyFont="1" applyFill="1" applyBorder="1" applyAlignment="1">
      <alignment horizontal="left" vertical="center"/>
    </xf>
    <xf numFmtId="0" fontId="30" fillId="14" borderId="8" xfId="0" applyFont="1" applyFill="1" applyBorder="1"/>
    <xf numFmtId="0" fontId="30" fillId="14" borderId="9" xfId="0" applyFont="1" applyFill="1" applyBorder="1"/>
    <xf numFmtId="0" fontId="30" fillId="7" borderId="13" xfId="0" applyFont="1" applyFill="1" applyBorder="1" applyAlignment="1">
      <alignment horizontal="left" vertical="top" wrapText="1"/>
    </xf>
    <xf numFmtId="4" fontId="30" fillId="7" borderId="0" xfId="0" applyNumberFormat="1" applyFont="1" applyFill="1" applyBorder="1" applyAlignment="1">
      <alignment horizontal="right" vertical="top"/>
    </xf>
    <xf numFmtId="4" fontId="30" fillId="7" borderId="5" xfId="0" applyNumberFormat="1" applyFont="1" applyFill="1" applyBorder="1" applyAlignment="1">
      <alignment horizontal="right" vertical="top"/>
    </xf>
    <xf numFmtId="2" fontId="31" fillId="7" borderId="13" xfId="0" applyNumberFormat="1" applyFont="1" applyFill="1" applyBorder="1" applyAlignment="1">
      <alignment horizontal="left" vertical="top" wrapText="1"/>
    </xf>
    <xf numFmtId="0" fontId="31" fillId="7" borderId="14" xfId="0" applyFont="1" applyFill="1" applyBorder="1" applyAlignment="1">
      <alignment horizontal="left" vertical="top" wrapText="1"/>
    </xf>
    <xf numFmtId="4" fontId="30" fillId="7" borderId="6" xfId="0" applyNumberFormat="1" applyFont="1" applyFill="1" applyBorder="1" applyAlignment="1">
      <alignment horizontal="right" vertical="top"/>
    </xf>
    <xf numFmtId="4" fontId="30" fillId="7" borderId="7" xfId="0" applyNumberFormat="1" applyFont="1" applyFill="1" applyBorder="1" applyAlignment="1">
      <alignment horizontal="right" vertical="top"/>
    </xf>
    <xf numFmtId="0" fontId="31" fillId="4" borderId="0" xfId="1" applyFont="1" applyFill="1"/>
    <xf numFmtId="17" fontId="33" fillId="4" borderId="0" xfId="1" applyNumberFormat="1" applyFont="1" applyFill="1" applyBorder="1" applyAlignment="1">
      <alignment horizontal="center"/>
    </xf>
    <xf numFmtId="2" fontId="30" fillId="0" borderId="0" xfId="0" applyNumberFormat="1" applyFont="1"/>
    <xf numFmtId="0" fontId="13" fillId="0" borderId="0" xfId="0" applyFont="1" applyAlignment="1">
      <alignment horizontal="left"/>
    </xf>
    <xf numFmtId="17" fontId="7" fillId="2" borderId="2" xfId="1" applyNumberFormat="1" applyFont="1" applyFill="1" applyBorder="1" applyAlignment="1">
      <alignment horizontal="center" vertical="center"/>
    </xf>
    <xf numFmtId="166" fontId="6" fillId="2" borderId="2" xfId="2" applyNumberFormat="1" applyFont="1" applyFill="1" applyBorder="1" applyAlignment="1">
      <alignment horizontal="right" vertical="top"/>
    </xf>
    <xf numFmtId="17" fontId="7" fillId="2" borderId="2" xfId="1" applyNumberFormat="1" applyFont="1" applyFill="1" applyBorder="1" applyAlignment="1">
      <alignment horizontal="center" vertical="center" wrapText="1"/>
    </xf>
    <xf numFmtId="17" fontId="24" fillId="9" borderId="18" xfId="1" applyNumberFormat="1" applyFont="1" applyFill="1" applyBorder="1" applyAlignment="1">
      <alignment horizontal="center" vertical="center"/>
    </xf>
    <xf numFmtId="17" fontId="24" fillId="9" borderId="18" xfId="1" applyNumberFormat="1" applyFont="1" applyFill="1" applyBorder="1" applyAlignment="1">
      <alignment horizontal="center" vertical="center" wrapText="1"/>
    </xf>
    <xf numFmtId="0" fontId="22" fillId="10" borderId="12" xfId="0" applyFont="1" applyFill="1" applyBorder="1" applyAlignment="1">
      <alignment horizontal="left" vertical="center" wrapText="1"/>
    </xf>
    <xf numFmtId="3" fontId="25" fillId="10" borderId="8" xfId="2" applyNumberFormat="1" applyFont="1" applyFill="1" applyBorder="1" applyAlignment="1">
      <alignment horizontal="right" vertical="center" wrapText="1"/>
    </xf>
    <xf numFmtId="4" fontId="25" fillId="10" borderId="8" xfId="0" applyNumberFormat="1" applyFont="1" applyFill="1" applyBorder="1" applyAlignment="1">
      <alignment horizontal="right" vertical="center" wrapText="1"/>
    </xf>
    <xf numFmtId="4" fontId="25" fillId="10" borderId="9" xfId="0" applyNumberFormat="1" applyFont="1" applyFill="1" applyBorder="1" applyAlignment="1">
      <alignment horizontal="right" vertical="center" wrapText="1"/>
    </xf>
    <xf numFmtId="4" fontId="26" fillId="9" borderId="5" xfId="0" applyNumberFormat="1" applyFont="1" applyFill="1" applyBorder="1" applyAlignment="1">
      <alignment horizontal="right" vertical="center" wrapText="1"/>
    </xf>
    <xf numFmtId="4" fontId="25" fillId="10" borderId="7" xfId="0" applyNumberFormat="1" applyFont="1" applyFill="1" applyBorder="1" applyAlignment="1">
      <alignment horizontal="right" vertical="center" wrapText="1"/>
    </xf>
    <xf numFmtId="0" fontId="1" fillId="0" borderId="0" xfId="0" applyFont="1" applyBorder="1"/>
    <xf numFmtId="164" fontId="1" fillId="0" borderId="0" xfId="0" applyNumberFormat="1" applyFont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" fontId="1" fillId="0" borderId="0" xfId="0" applyNumberFormat="1" applyFont="1" applyBorder="1"/>
    <xf numFmtId="43" fontId="3" fillId="0" borderId="0" xfId="2" applyFont="1" applyFill="1" applyBorder="1" applyAlignment="1">
      <alignment horizontal="right" vertical="center" indent="1"/>
    </xf>
    <xf numFmtId="43" fontId="3" fillId="0" borderId="0" xfId="2" applyFont="1" applyFill="1" applyBorder="1" applyAlignment="1">
      <alignment vertical="center"/>
    </xf>
    <xf numFmtId="43" fontId="35" fillId="0" borderId="0" xfId="2" applyFont="1" applyFill="1" applyBorder="1" applyAlignment="1">
      <alignment horizontal="right" vertical="center" indent="1"/>
    </xf>
    <xf numFmtId="43" fontId="35" fillId="0" borderId="0" xfId="2" applyFont="1" applyFill="1" applyBorder="1" applyAlignment="1">
      <alignment vertical="center"/>
    </xf>
    <xf numFmtId="17" fontId="1" fillId="0" borderId="0" xfId="0" applyNumberFormat="1" applyFont="1"/>
    <xf numFmtId="164" fontId="3" fillId="0" borderId="0" xfId="0" applyNumberFormat="1" applyFont="1" applyFill="1" applyBorder="1" applyAlignment="1">
      <alignment horizontal="right" vertical="center"/>
    </xf>
    <xf numFmtId="2" fontId="1" fillId="0" borderId="23" xfId="0" applyNumberFormat="1" applyFont="1" applyBorder="1"/>
    <xf numFmtId="2" fontId="1" fillId="0" borderId="24" xfId="0" applyNumberFormat="1" applyFont="1" applyBorder="1"/>
    <xf numFmtId="2" fontId="1" fillId="0" borderId="20" xfId="0" applyNumberFormat="1" applyFont="1" applyBorder="1"/>
    <xf numFmtId="2" fontId="1" fillId="0" borderId="26" xfId="0" applyNumberFormat="1" applyFont="1" applyBorder="1"/>
    <xf numFmtId="2" fontId="1" fillId="0" borderId="25" xfId="0" applyNumberFormat="1" applyFont="1" applyBorder="1"/>
    <xf numFmtId="164" fontId="1" fillId="0" borderId="0" xfId="0" applyNumberFormat="1" applyFont="1"/>
    <xf numFmtId="0" fontId="34" fillId="0" borderId="0" xfId="0" applyFont="1" applyFill="1" applyBorder="1" applyAlignment="1">
      <alignment vertical="center"/>
    </xf>
    <xf numFmtId="3" fontId="13" fillId="5" borderId="0" xfId="0" applyNumberFormat="1" applyFont="1" applyFill="1"/>
    <xf numFmtId="0" fontId="7" fillId="9" borderId="2" xfId="0" applyFont="1" applyFill="1" applyBorder="1" applyAlignment="1">
      <alignment horizontal="center" vertical="center" wrapText="1"/>
    </xf>
    <xf numFmtId="17" fontId="7" fillId="9" borderId="18" xfId="1" applyNumberFormat="1" applyFont="1" applyFill="1" applyBorder="1" applyAlignment="1">
      <alignment horizontal="center" vertical="center"/>
    </xf>
    <xf numFmtId="17" fontId="7" fillId="9" borderId="18" xfId="1" applyNumberFormat="1" applyFont="1" applyFill="1" applyBorder="1" applyAlignment="1">
      <alignment horizontal="center" vertical="center" wrapText="1"/>
    </xf>
    <xf numFmtId="0" fontId="27" fillId="4" borderId="0" xfId="1" applyFont="1" applyFill="1"/>
    <xf numFmtId="0" fontId="36" fillId="4" borderId="0" xfId="1" applyFont="1" applyFill="1" applyBorder="1" applyAlignment="1"/>
    <xf numFmtId="17" fontId="37" fillId="4" borderId="0" xfId="1" applyNumberFormat="1" applyFont="1" applyFill="1" applyBorder="1" applyAlignment="1">
      <alignment horizontal="center"/>
    </xf>
    <xf numFmtId="43" fontId="27" fillId="0" borderId="0" xfId="2" applyFont="1" applyFill="1" applyBorder="1" applyAlignment="1">
      <alignment horizontal="right" vertical="center" indent="1"/>
    </xf>
    <xf numFmtId="4" fontId="6" fillId="9" borderId="0" xfId="2" applyNumberFormat="1" applyFont="1" applyFill="1" applyBorder="1" applyAlignment="1">
      <alignment horizontal="right" vertical="top" wrapText="1"/>
    </xf>
    <xf numFmtId="4" fontId="6" fillId="9" borderId="0" xfId="0" applyNumberFormat="1" applyFont="1" applyFill="1" applyBorder="1" applyAlignment="1">
      <alignment horizontal="right" vertical="top" wrapText="1"/>
    </xf>
    <xf numFmtId="4" fontId="6" fillId="9" borderId="5" xfId="0" applyNumberFormat="1" applyFont="1" applyFill="1" applyBorder="1" applyAlignment="1">
      <alignment horizontal="right" vertical="top" wrapText="1"/>
    </xf>
    <xf numFmtId="0" fontId="0" fillId="13" borderId="12" xfId="0" applyFont="1" applyFill="1" applyBorder="1" applyAlignment="1">
      <alignment horizontal="left" vertical="top" wrapText="1"/>
    </xf>
    <xf numFmtId="4" fontId="6" fillId="13" borderId="8" xfId="2" applyNumberFormat="1" applyFont="1" applyFill="1" applyBorder="1" applyAlignment="1">
      <alignment horizontal="right" vertical="top" wrapText="1"/>
    </xf>
    <xf numFmtId="4" fontId="6" fillId="13" borderId="8" xfId="0" applyNumberFormat="1" applyFont="1" applyFill="1" applyBorder="1" applyAlignment="1">
      <alignment horizontal="right" vertical="top" wrapText="1"/>
    </xf>
    <xf numFmtId="4" fontId="6" fillId="13" borderId="9" xfId="0" applyNumberFormat="1" applyFont="1" applyFill="1" applyBorder="1" applyAlignment="1">
      <alignment horizontal="right" vertical="top" wrapText="1"/>
    </xf>
    <xf numFmtId="4" fontId="6" fillId="13" borderId="0" xfId="2" applyNumberFormat="1" applyFont="1" applyFill="1" applyBorder="1" applyAlignment="1">
      <alignment horizontal="right" vertical="top" wrapText="1"/>
    </xf>
    <xf numFmtId="4" fontId="6" fillId="13" borderId="0" xfId="0" applyNumberFormat="1" applyFont="1" applyFill="1" applyBorder="1" applyAlignment="1">
      <alignment horizontal="right" vertical="top" wrapText="1"/>
    </xf>
    <xf numFmtId="0" fontId="0" fillId="13" borderId="13" xfId="0" applyFont="1" applyFill="1" applyBorder="1" applyAlignment="1">
      <alignment horizontal="left" vertical="top" wrapText="1"/>
    </xf>
    <xf numFmtId="4" fontId="6" fillId="13" borderId="5" xfId="0" applyNumberFormat="1" applyFont="1" applyFill="1" applyBorder="1" applyAlignment="1">
      <alignment horizontal="right" vertical="top" wrapText="1"/>
    </xf>
    <xf numFmtId="0" fontId="21" fillId="15" borderId="14" xfId="0" applyFont="1" applyFill="1" applyBorder="1" applyAlignment="1">
      <alignment horizontal="left" vertical="center" wrapText="1"/>
    </xf>
    <xf numFmtId="4" fontId="22" fillId="15" borderId="6" xfId="2" applyNumberFormat="1" applyFont="1" applyFill="1" applyBorder="1" applyAlignment="1">
      <alignment horizontal="right" vertical="center" wrapText="1"/>
    </xf>
    <xf numFmtId="4" fontId="22" fillId="15" borderId="6" xfId="0" applyNumberFormat="1" applyFont="1" applyFill="1" applyBorder="1" applyAlignment="1">
      <alignment horizontal="right" vertical="center" wrapText="1"/>
    </xf>
    <xf numFmtId="4" fontId="22" fillId="15" borderId="7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0" fillId="4" borderId="0" xfId="0" applyFill="1"/>
    <xf numFmtId="17" fontId="0" fillId="4" borderId="0" xfId="0" applyNumberFormat="1" applyFill="1"/>
    <xf numFmtId="167" fontId="0" fillId="0" borderId="0" xfId="0" applyNumberFormat="1"/>
    <xf numFmtId="167" fontId="0" fillId="4" borderId="0" xfId="0" applyNumberFormat="1" applyFill="1"/>
    <xf numFmtId="0" fontId="12" fillId="4" borderId="0" xfId="0" applyFont="1" applyFill="1"/>
    <xf numFmtId="17" fontId="5" fillId="4" borderId="0" xfId="0" applyNumberFormat="1" applyFont="1" applyFill="1"/>
    <xf numFmtId="0" fontId="0" fillId="4" borderId="0" xfId="0" applyFill="1" applyAlignment="1">
      <alignment horizontal="right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17" fontId="14" fillId="2" borderId="2" xfId="1" applyNumberFormat="1" applyFont="1" applyFill="1" applyBorder="1" applyAlignment="1">
      <alignment horizontal="center" vertical="center"/>
    </xf>
    <xf numFmtId="166" fontId="13" fillId="2" borderId="2" xfId="2" applyNumberFormat="1" applyFont="1" applyFill="1" applyBorder="1" applyAlignment="1">
      <alignment horizontal="right" vertical="top"/>
    </xf>
    <xf numFmtId="17" fontId="14" fillId="2" borderId="2" xfId="1" applyNumberFormat="1" applyFont="1" applyFill="1" applyBorder="1" applyAlignment="1">
      <alignment horizontal="center" vertical="center" wrapText="1"/>
    </xf>
    <xf numFmtId="17" fontId="1" fillId="6" borderId="12" xfId="0" applyNumberFormat="1" applyFont="1" applyFill="1" applyBorder="1" applyAlignment="1">
      <alignment horizontal="left"/>
    </xf>
    <xf numFmtId="4" fontId="13" fillId="6" borderId="8" xfId="0" applyNumberFormat="1" applyFont="1" applyFill="1" applyBorder="1"/>
    <xf numFmtId="17" fontId="1" fillId="6" borderId="13" xfId="0" applyNumberFormat="1" applyFont="1" applyFill="1" applyBorder="1" applyAlignment="1">
      <alignment horizontal="left"/>
    </xf>
    <xf numFmtId="4" fontId="13" fillId="6" borderId="0" xfId="0" applyNumberFormat="1" applyFont="1" applyFill="1" applyBorder="1"/>
    <xf numFmtId="17" fontId="1" fillId="6" borderId="14" xfId="0" applyNumberFormat="1" applyFont="1" applyFill="1" applyBorder="1" applyAlignment="1">
      <alignment horizontal="left"/>
    </xf>
    <xf numFmtId="4" fontId="13" fillId="6" borderId="6" xfId="0" applyNumberFormat="1" applyFont="1" applyFill="1" applyBorder="1"/>
    <xf numFmtId="0" fontId="32" fillId="4" borderId="0" xfId="1" applyFont="1" applyFill="1" applyBorder="1" applyAlignment="1"/>
    <xf numFmtId="0" fontId="32" fillId="4" borderId="0" xfId="1" applyFont="1" applyFill="1" applyBorder="1" applyAlignment="1">
      <alignment horizontal="left"/>
    </xf>
    <xf numFmtId="4" fontId="13" fillId="16" borderId="9" xfId="0" applyNumberFormat="1" applyFont="1" applyFill="1" applyBorder="1"/>
    <xf numFmtId="4" fontId="13" fillId="16" borderId="5" xfId="0" applyNumberFormat="1" applyFont="1" applyFill="1" applyBorder="1"/>
    <xf numFmtId="4" fontId="13" fillId="16" borderId="7" xfId="0" applyNumberFormat="1" applyFont="1" applyFill="1" applyBorder="1"/>
    <xf numFmtId="0" fontId="0" fillId="0" borderId="0" xfId="0" applyAlignment="1">
      <alignment vertical="top"/>
    </xf>
    <xf numFmtId="4" fontId="3" fillId="0" borderId="2" xfId="0" applyNumberFormat="1" applyFont="1" applyFill="1" applyBorder="1" applyAlignment="1" applyProtection="1">
      <alignment horizontal="left"/>
    </xf>
    <xf numFmtId="4" fontId="3" fillId="0" borderId="3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left"/>
    </xf>
    <xf numFmtId="168" fontId="3" fillId="0" borderId="0" xfId="0" applyNumberFormat="1" applyFont="1" applyFill="1"/>
    <xf numFmtId="164" fontId="35" fillId="0" borderId="0" xfId="0" applyNumberFormat="1" applyFont="1" applyFill="1" applyBorder="1" applyAlignment="1" applyProtection="1">
      <alignment horizontal="left"/>
    </xf>
    <xf numFmtId="168" fontId="35" fillId="0" borderId="0" xfId="0" applyNumberFormat="1" applyFont="1" applyFill="1"/>
    <xf numFmtId="2" fontId="13" fillId="0" borderId="0" xfId="0" applyNumberFormat="1" applyFont="1" applyAlignment="1">
      <alignment horizontal="right"/>
    </xf>
    <xf numFmtId="2" fontId="8" fillId="0" borderId="0" xfId="0" applyNumberFormat="1" applyFont="1"/>
    <xf numFmtId="43" fontId="3" fillId="6" borderId="0" xfId="2" applyFont="1" applyFill="1" applyBorder="1" applyAlignment="1">
      <alignment horizontal="right" vertical="center" indent="1"/>
    </xf>
    <xf numFmtId="0" fontId="7" fillId="11" borderId="12" xfId="0" applyFont="1" applyFill="1" applyBorder="1" applyAlignment="1">
      <alignment horizontal="center"/>
    </xf>
    <xf numFmtId="0" fontId="7" fillId="11" borderId="8" xfId="0" applyFont="1" applyFill="1" applyBorder="1" applyAlignment="1">
      <alignment horizontal="center"/>
    </xf>
    <xf numFmtId="0" fontId="7" fillId="11" borderId="9" xfId="0" applyFont="1" applyFill="1" applyBorder="1" applyAlignment="1">
      <alignment horizontal="center"/>
    </xf>
    <xf numFmtId="17" fontId="0" fillId="12" borderId="14" xfId="0" applyNumberFormat="1" applyFill="1" applyBorder="1" applyAlignment="1">
      <alignment horizontal="center" vertical="center"/>
    </xf>
    <xf numFmtId="17" fontId="0" fillId="12" borderId="6" xfId="0" applyNumberFormat="1" applyFill="1" applyBorder="1" applyAlignment="1">
      <alignment horizontal="center" vertical="center"/>
    </xf>
    <xf numFmtId="17" fontId="0" fillId="12" borderId="7" xfId="0" applyNumberForma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3" fillId="8" borderId="12" xfId="0" applyFont="1" applyFill="1" applyBorder="1" applyAlignment="1">
      <alignment horizontal="center" vertical="center"/>
    </xf>
    <xf numFmtId="0" fontId="23" fillId="8" borderId="8" xfId="0" applyFont="1" applyFill="1" applyBorder="1" applyAlignment="1">
      <alignment horizontal="center" vertical="center"/>
    </xf>
    <xf numFmtId="0" fontId="23" fillId="8" borderId="9" xfId="0" applyFont="1" applyFill="1" applyBorder="1" applyAlignment="1">
      <alignment horizontal="center" vertical="center"/>
    </xf>
    <xf numFmtId="17" fontId="7" fillId="9" borderId="18" xfId="1" applyNumberFormat="1" applyFont="1" applyFill="1" applyBorder="1" applyAlignment="1">
      <alignment horizontal="center" vertical="center"/>
    </xf>
    <xf numFmtId="17" fontId="7" fillId="9" borderId="22" xfId="1" applyNumberFormat="1" applyFont="1" applyFill="1" applyBorder="1" applyAlignment="1">
      <alignment horizontal="center" vertical="center"/>
    </xf>
    <xf numFmtId="0" fontId="24" fillId="9" borderId="3" xfId="0" applyFont="1" applyFill="1" applyBorder="1" applyAlignment="1">
      <alignment horizontal="center" vertical="center"/>
    </xf>
    <xf numFmtId="0" fontId="24" fillId="9" borderId="21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/>
    </xf>
    <xf numFmtId="17" fontId="24" fillId="9" borderId="2" xfId="1" applyNumberFormat="1" applyFont="1" applyFill="1" applyBorder="1" applyAlignment="1">
      <alignment horizontal="center" vertical="center" wrapText="1"/>
    </xf>
    <xf numFmtId="17" fontId="24" fillId="9" borderId="18" xfId="1" applyNumberFormat="1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/>
    </xf>
    <xf numFmtId="0" fontId="7" fillId="11" borderId="0" xfId="0" applyFont="1" applyFill="1" applyBorder="1" applyAlignment="1">
      <alignment horizontal="center"/>
    </xf>
    <xf numFmtId="17" fontId="0" fillId="12" borderId="13" xfId="0" applyNumberFormat="1" applyFill="1" applyBorder="1" applyAlignment="1">
      <alignment horizontal="center" vertical="center"/>
    </xf>
    <xf numFmtId="17" fontId="0" fillId="12" borderId="0" xfId="0" applyNumberForma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left" vertical="center"/>
    </xf>
    <xf numFmtId="0" fontId="17" fillId="3" borderId="17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21" fillId="8" borderId="12" xfId="0" applyFont="1" applyFill="1" applyBorder="1" applyAlignment="1">
      <alignment horizontal="center" vertical="center"/>
    </xf>
    <xf numFmtId="0" fontId="21" fillId="8" borderId="8" xfId="0" applyFont="1" applyFill="1" applyBorder="1" applyAlignment="1">
      <alignment horizontal="center" vertical="center"/>
    </xf>
    <xf numFmtId="0" fontId="21" fillId="8" borderId="9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2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17" fontId="7" fillId="9" borderId="2" xfId="1" applyNumberFormat="1" applyFont="1" applyFill="1" applyBorder="1" applyAlignment="1">
      <alignment horizontal="center" vertical="center" wrapText="1"/>
    </xf>
    <xf numFmtId="17" fontId="7" fillId="9" borderId="18" xfId="1" applyNumberFormat="1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5" xfId="1"/>
    <cellStyle name="Vírgula" xfId="2" builtinId="3"/>
  </cellStyles>
  <dxfs count="0"/>
  <tableStyles count="0" defaultTableStyle="TableStyleMedium2" defaultPivotStyle="PivotStyleLight16"/>
  <colors>
    <mruColors>
      <color rgb="FFCAE2BC"/>
      <color rgb="FFBAD9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6"/>
  <sheetViews>
    <sheetView topLeftCell="A3" workbookViewId="0">
      <selection activeCell="O24" sqref="O24"/>
    </sheetView>
  </sheetViews>
  <sheetFormatPr defaultRowHeight="15" x14ac:dyDescent="0.25"/>
  <sheetData>
    <row r="1" spans="1:9" x14ac:dyDescent="0.25">
      <c r="A1" s="2" t="s">
        <v>12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E2" t="s">
        <v>64</v>
      </c>
      <c r="H2" t="s">
        <v>32</v>
      </c>
    </row>
    <row r="3" spans="1:9" x14ac:dyDescent="0.25">
      <c r="A3" s="2"/>
      <c r="B3" s="4"/>
      <c r="D3" s="3"/>
      <c r="E3" s="4">
        <v>42736</v>
      </c>
      <c r="F3" s="2"/>
      <c r="G3" s="2"/>
      <c r="H3" s="4">
        <v>35796</v>
      </c>
    </row>
    <row r="4" spans="1:9" x14ac:dyDescent="0.25">
      <c r="A4" s="2"/>
      <c r="B4" s="4"/>
      <c r="E4" s="4">
        <v>42767</v>
      </c>
      <c r="F4" s="2"/>
      <c r="G4" s="2"/>
      <c r="H4" s="4">
        <v>35827</v>
      </c>
    </row>
    <row r="5" spans="1:9" x14ac:dyDescent="0.25">
      <c r="A5" s="2"/>
      <c r="B5" s="4"/>
      <c r="E5" s="4">
        <v>42795</v>
      </c>
      <c r="H5" s="4">
        <v>35855</v>
      </c>
    </row>
    <row r="6" spans="1:9" x14ac:dyDescent="0.25">
      <c r="A6" s="2"/>
      <c r="B6" s="4"/>
      <c r="E6" s="4">
        <v>42826</v>
      </c>
      <c r="H6" s="4">
        <v>35886</v>
      </c>
    </row>
    <row r="7" spans="1:9" x14ac:dyDescent="0.25">
      <c r="A7" s="2"/>
      <c r="B7" s="4"/>
      <c r="E7" s="4">
        <v>42856</v>
      </c>
      <c r="H7" s="4">
        <v>35916</v>
      </c>
    </row>
    <row r="8" spans="1:9" x14ac:dyDescent="0.25">
      <c r="A8" s="2"/>
      <c r="B8" s="4"/>
      <c r="E8" s="4">
        <v>42887</v>
      </c>
      <c r="H8" s="4">
        <v>35947</v>
      </c>
    </row>
    <row r="9" spans="1:9" x14ac:dyDescent="0.25">
      <c r="A9" s="2"/>
      <c r="B9" s="4"/>
      <c r="E9" s="4">
        <v>42917</v>
      </c>
      <c r="H9" s="4">
        <v>35977</v>
      </c>
    </row>
    <row r="10" spans="1:9" x14ac:dyDescent="0.25">
      <c r="A10" s="2"/>
      <c r="B10" s="4"/>
      <c r="E10" s="4">
        <v>42948</v>
      </c>
      <c r="H10" s="4">
        <v>36008</v>
      </c>
    </row>
    <row r="11" spans="1:9" x14ac:dyDescent="0.25">
      <c r="A11" s="2"/>
      <c r="B11" s="4"/>
      <c r="E11" s="4">
        <v>42979</v>
      </c>
      <c r="H11" s="4">
        <v>36039</v>
      </c>
    </row>
    <row r="12" spans="1:9" x14ac:dyDescent="0.25">
      <c r="A12" s="2"/>
      <c r="B12" s="4"/>
      <c r="E12" s="4">
        <v>43009</v>
      </c>
      <c r="H12" s="4">
        <v>36069</v>
      </c>
    </row>
    <row r="13" spans="1:9" x14ac:dyDescent="0.25">
      <c r="A13" s="2"/>
      <c r="B13" s="4"/>
      <c r="E13" s="4">
        <v>43040</v>
      </c>
      <c r="H13" s="4">
        <v>36100</v>
      </c>
    </row>
    <row r="14" spans="1:9" x14ac:dyDescent="0.25">
      <c r="A14" s="2"/>
      <c r="B14" s="4"/>
      <c r="E14" s="4">
        <v>43070</v>
      </c>
      <c r="H14" s="4">
        <v>36130</v>
      </c>
    </row>
    <row r="15" spans="1:9" x14ac:dyDescent="0.25">
      <c r="A15" s="2"/>
      <c r="B15" s="4"/>
      <c r="E15" s="4">
        <v>43101</v>
      </c>
      <c r="H15" s="4">
        <v>36161</v>
      </c>
    </row>
    <row r="16" spans="1:9" x14ac:dyDescent="0.25">
      <c r="A16" s="2"/>
      <c r="B16" s="4"/>
      <c r="E16" s="4">
        <v>43132</v>
      </c>
      <c r="H16" s="4">
        <v>36192</v>
      </c>
    </row>
    <row r="17" spans="1:8" x14ac:dyDescent="0.25">
      <c r="A17" s="2"/>
      <c r="B17" s="4"/>
      <c r="E17" s="4">
        <v>43160</v>
      </c>
      <c r="H17" s="4">
        <v>36220</v>
      </c>
    </row>
    <row r="18" spans="1:8" x14ac:dyDescent="0.25">
      <c r="A18" s="2"/>
      <c r="B18" s="4"/>
      <c r="E18" s="4">
        <v>43191</v>
      </c>
      <c r="H18" s="4">
        <v>36251</v>
      </c>
    </row>
    <row r="19" spans="1:8" x14ac:dyDescent="0.25">
      <c r="A19" s="2"/>
      <c r="B19" s="4"/>
      <c r="E19" s="4">
        <v>43221</v>
      </c>
      <c r="H19" s="4">
        <v>36281</v>
      </c>
    </row>
    <row r="20" spans="1:8" x14ac:dyDescent="0.25">
      <c r="A20" s="2"/>
      <c r="B20" s="4"/>
      <c r="E20" s="4">
        <v>43252</v>
      </c>
      <c r="H20" s="4">
        <v>36312</v>
      </c>
    </row>
    <row r="21" spans="1:8" x14ac:dyDescent="0.25">
      <c r="A21" s="2"/>
      <c r="B21" s="4"/>
      <c r="E21" s="4">
        <v>43282</v>
      </c>
      <c r="H21" s="4">
        <v>36342</v>
      </c>
    </row>
    <row r="22" spans="1:8" x14ac:dyDescent="0.25">
      <c r="A22" s="2"/>
      <c r="B22" s="4"/>
      <c r="E22" s="4">
        <v>43313</v>
      </c>
      <c r="H22" s="4">
        <v>36373</v>
      </c>
    </row>
    <row r="23" spans="1:8" x14ac:dyDescent="0.25">
      <c r="A23" s="2"/>
      <c r="B23" s="4"/>
      <c r="E23" s="4">
        <v>43344</v>
      </c>
      <c r="H23" s="4">
        <v>36404</v>
      </c>
    </row>
    <row r="24" spans="1:8" x14ac:dyDescent="0.25">
      <c r="A24" s="2"/>
      <c r="B24" s="4"/>
      <c r="E24" s="4">
        <v>43374</v>
      </c>
      <c r="H24" s="4">
        <v>36434</v>
      </c>
    </row>
    <row r="25" spans="1:8" x14ac:dyDescent="0.25">
      <c r="A25" s="2"/>
      <c r="B25" s="4"/>
      <c r="E25" s="4">
        <v>43405</v>
      </c>
      <c r="H25" s="4">
        <v>36465</v>
      </c>
    </row>
    <row r="26" spans="1:8" x14ac:dyDescent="0.25">
      <c r="A26" s="2"/>
      <c r="B26" s="4"/>
      <c r="E26" s="4">
        <v>43435</v>
      </c>
      <c r="H26" s="4">
        <v>36495</v>
      </c>
    </row>
    <row r="27" spans="1:8" x14ac:dyDescent="0.25">
      <c r="A27" s="2"/>
      <c r="B27" s="4"/>
      <c r="E27" s="4">
        <v>43466</v>
      </c>
      <c r="H27" s="4">
        <v>36526</v>
      </c>
    </row>
    <row r="28" spans="1:8" x14ac:dyDescent="0.25">
      <c r="A28" s="2"/>
      <c r="B28" s="4"/>
      <c r="E28" s="4">
        <v>43497</v>
      </c>
      <c r="H28" s="4">
        <v>36557</v>
      </c>
    </row>
    <row r="29" spans="1:8" x14ac:dyDescent="0.25">
      <c r="A29" s="2"/>
      <c r="B29" s="4"/>
      <c r="E29" s="4">
        <v>43525</v>
      </c>
      <c r="H29" s="4">
        <v>36586</v>
      </c>
    </row>
    <row r="30" spans="1:8" x14ac:dyDescent="0.25">
      <c r="A30" s="2"/>
      <c r="B30" s="4"/>
      <c r="E30" s="4">
        <v>43556</v>
      </c>
      <c r="H30" s="4">
        <v>36617</v>
      </c>
    </row>
    <row r="31" spans="1:8" x14ac:dyDescent="0.25">
      <c r="A31" s="2"/>
      <c r="B31" s="4"/>
      <c r="E31" s="4">
        <v>43586</v>
      </c>
      <c r="H31" s="4">
        <v>36647</v>
      </c>
    </row>
    <row r="32" spans="1:8" x14ac:dyDescent="0.25">
      <c r="A32" s="2"/>
      <c r="B32" s="4"/>
      <c r="E32" s="4">
        <v>43617</v>
      </c>
      <c r="H32" s="4">
        <v>36678</v>
      </c>
    </row>
    <row r="33" spans="1:8" x14ac:dyDescent="0.25">
      <c r="A33" s="2"/>
      <c r="B33" s="4"/>
      <c r="E33" s="4">
        <v>43647</v>
      </c>
      <c r="H33" s="4">
        <v>36708</v>
      </c>
    </row>
    <row r="34" spans="1:8" x14ac:dyDescent="0.25">
      <c r="A34" s="2"/>
      <c r="B34" s="4"/>
      <c r="E34" s="4">
        <v>43678</v>
      </c>
      <c r="H34" s="4">
        <v>36739</v>
      </c>
    </row>
    <row r="35" spans="1:8" x14ac:dyDescent="0.25">
      <c r="A35" s="2"/>
      <c r="B35" s="4"/>
      <c r="E35" s="4">
        <v>43709</v>
      </c>
      <c r="H35" s="4">
        <v>36770</v>
      </c>
    </row>
    <row r="36" spans="1:8" x14ac:dyDescent="0.25">
      <c r="A36" s="2"/>
      <c r="B36" s="4"/>
      <c r="E36" s="4">
        <v>43739</v>
      </c>
      <c r="H36" s="4">
        <v>36800</v>
      </c>
    </row>
    <row r="37" spans="1:8" x14ac:dyDescent="0.25">
      <c r="A37" s="2"/>
      <c r="B37" s="4"/>
      <c r="E37" s="4">
        <v>43770</v>
      </c>
      <c r="H37" s="4">
        <v>36831</v>
      </c>
    </row>
    <row r="38" spans="1:8" x14ac:dyDescent="0.25">
      <c r="A38" s="2"/>
      <c r="B38" s="4"/>
      <c r="E38" s="4">
        <v>43800</v>
      </c>
      <c r="H38" s="4">
        <v>36861</v>
      </c>
    </row>
    <row r="39" spans="1:8" x14ac:dyDescent="0.25">
      <c r="A39" s="2"/>
      <c r="B39" s="4"/>
      <c r="E39" s="4"/>
      <c r="H39" s="4">
        <v>36892</v>
      </c>
    </row>
    <row r="40" spans="1:8" x14ac:dyDescent="0.25">
      <c r="A40" s="2"/>
      <c r="B40" s="4"/>
      <c r="E40" s="4"/>
      <c r="H40" s="4">
        <v>36923</v>
      </c>
    </row>
    <row r="41" spans="1:8" x14ac:dyDescent="0.25">
      <c r="A41" s="2"/>
      <c r="B41" s="4"/>
      <c r="E41" s="4"/>
      <c r="H41" s="4">
        <v>36951</v>
      </c>
    </row>
    <row r="42" spans="1:8" x14ac:dyDescent="0.25">
      <c r="A42" s="2"/>
      <c r="B42" s="4"/>
      <c r="E42" s="4"/>
      <c r="H42" s="4">
        <v>36982</v>
      </c>
    </row>
    <row r="43" spans="1:8" x14ac:dyDescent="0.25">
      <c r="A43" s="2"/>
      <c r="B43" s="4"/>
      <c r="E43" s="4"/>
      <c r="H43" s="4">
        <v>37012</v>
      </c>
    </row>
    <row r="44" spans="1:8" x14ac:dyDescent="0.25">
      <c r="A44" s="2"/>
      <c r="B44" s="4"/>
      <c r="E44" s="4"/>
      <c r="H44" s="4">
        <v>37043</v>
      </c>
    </row>
    <row r="45" spans="1:8" x14ac:dyDescent="0.25">
      <c r="A45" s="2"/>
      <c r="B45" s="4"/>
      <c r="H45" s="4">
        <v>37073</v>
      </c>
    </row>
    <row r="46" spans="1:8" x14ac:dyDescent="0.25">
      <c r="A46" s="2"/>
      <c r="B46" s="4"/>
      <c r="H46" s="4">
        <v>37104</v>
      </c>
    </row>
    <row r="47" spans="1:8" x14ac:dyDescent="0.25">
      <c r="A47" s="2"/>
      <c r="B47" s="4"/>
      <c r="H47" s="4">
        <v>37135</v>
      </c>
    </row>
    <row r="48" spans="1:8" x14ac:dyDescent="0.25">
      <c r="A48" s="2"/>
      <c r="B48" s="4"/>
      <c r="H48" s="4">
        <v>37165</v>
      </c>
    </row>
    <row r="49" spans="1:8" x14ac:dyDescent="0.25">
      <c r="A49" s="2"/>
      <c r="B49" s="4"/>
      <c r="H49" s="4">
        <v>37196</v>
      </c>
    </row>
    <row r="50" spans="1:8" x14ac:dyDescent="0.25">
      <c r="A50" s="2"/>
      <c r="B50" s="4"/>
      <c r="H50" s="4">
        <v>37226</v>
      </c>
    </row>
    <row r="51" spans="1:8" x14ac:dyDescent="0.25">
      <c r="A51" s="2"/>
      <c r="B51" s="4"/>
      <c r="H51" s="4">
        <v>37257</v>
      </c>
    </row>
    <row r="52" spans="1:8" x14ac:dyDescent="0.25">
      <c r="A52" s="2"/>
      <c r="B52" s="4"/>
      <c r="H52" s="4">
        <v>37288</v>
      </c>
    </row>
    <row r="53" spans="1:8" x14ac:dyDescent="0.25">
      <c r="A53" s="2"/>
      <c r="B53" s="4"/>
      <c r="H53" s="4">
        <v>37316</v>
      </c>
    </row>
    <row r="54" spans="1:8" x14ac:dyDescent="0.25">
      <c r="A54" s="2"/>
      <c r="B54" s="4"/>
      <c r="H54" s="4">
        <v>37347</v>
      </c>
    </row>
    <row r="55" spans="1:8" x14ac:dyDescent="0.25">
      <c r="A55" s="2"/>
      <c r="B55" s="4"/>
      <c r="H55" s="4">
        <v>37377</v>
      </c>
    </row>
    <row r="56" spans="1:8" x14ac:dyDescent="0.25">
      <c r="A56" s="2"/>
      <c r="B56" s="4"/>
      <c r="H56" s="4">
        <v>37408</v>
      </c>
    </row>
    <row r="57" spans="1:8" x14ac:dyDescent="0.25">
      <c r="A57" s="2"/>
      <c r="B57" s="4"/>
      <c r="H57" s="4">
        <v>37438</v>
      </c>
    </row>
    <row r="58" spans="1:8" x14ac:dyDescent="0.25">
      <c r="A58" s="2"/>
      <c r="B58" s="4"/>
      <c r="H58" s="4">
        <v>37469</v>
      </c>
    </row>
    <row r="59" spans="1:8" x14ac:dyDescent="0.25">
      <c r="A59" s="2"/>
      <c r="B59" s="4"/>
      <c r="H59" s="4">
        <v>37500</v>
      </c>
    </row>
    <row r="60" spans="1:8" x14ac:dyDescent="0.25">
      <c r="A60" s="2"/>
      <c r="B60" s="4"/>
      <c r="H60" s="4">
        <v>37530</v>
      </c>
    </row>
    <row r="61" spans="1:8" x14ac:dyDescent="0.25">
      <c r="A61" s="2"/>
      <c r="B61" s="4"/>
      <c r="H61" s="4">
        <v>37561</v>
      </c>
    </row>
    <row r="62" spans="1:8" x14ac:dyDescent="0.25">
      <c r="A62" s="2"/>
      <c r="B62" s="4"/>
      <c r="H62" s="4">
        <v>37591</v>
      </c>
    </row>
    <row r="63" spans="1:8" x14ac:dyDescent="0.25">
      <c r="A63" s="2"/>
      <c r="B63" s="4"/>
      <c r="H63" s="4">
        <v>37622</v>
      </c>
    </row>
    <row r="64" spans="1:8" x14ac:dyDescent="0.25">
      <c r="A64" s="2"/>
      <c r="B64" s="4"/>
      <c r="H64" s="4">
        <v>37653</v>
      </c>
    </row>
    <row r="65" spans="1:8" x14ac:dyDescent="0.25">
      <c r="A65" s="2"/>
      <c r="B65" s="4"/>
      <c r="H65" s="4">
        <v>37681</v>
      </c>
    </row>
    <row r="66" spans="1:8" x14ac:dyDescent="0.25">
      <c r="A66" s="2"/>
      <c r="B66" s="4"/>
      <c r="H66" s="4">
        <v>37712</v>
      </c>
    </row>
    <row r="67" spans="1:8" x14ac:dyDescent="0.25">
      <c r="A67" s="2"/>
      <c r="B67" s="4"/>
      <c r="H67" s="4">
        <v>37742</v>
      </c>
    </row>
    <row r="68" spans="1:8" x14ac:dyDescent="0.25">
      <c r="A68" s="2"/>
      <c r="B68" s="4"/>
      <c r="H68" s="4">
        <v>37773</v>
      </c>
    </row>
    <row r="69" spans="1:8" x14ac:dyDescent="0.25">
      <c r="A69" s="2"/>
      <c r="B69" s="4"/>
      <c r="H69" s="4">
        <v>37803</v>
      </c>
    </row>
    <row r="70" spans="1:8" x14ac:dyDescent="0.25">
      <c r="A70" s="2"/>
      <c r="B70" s="4"/>
      <c r="H70" s="4">
        <v>37834</v>
      </c>
    </row>
    <row r="71" spans="1:8" x14ac:dyDescent="0.25">
      <c r="A71" s="2"/>
      <c r="B71" s="4"/>
      <c r="H71" s="4">
        <v>37865</v>
      </c>
    </row>
    <row r="72" spans="1:8" x14ac:dyDescent="0.25">
      <c r="A72" s="2"/>
      <c r="B72" s="4"/>
      <c r="H72" s="4">
        <v>37895</v>
      </c>
    </row>
    <row r="73" spans="1:8" x14ac:dyDescent="0.25">
      <c r="A73" s="2"/>
      <c r="B73" s="4"/>
      <c r="H73" s="4">
        <v>37926</v>
      </c>
    </row>
    <row r="74" spans="1:8" x14ac:dyDescent="0.25">
      <c r="A74" s="2"/>
      <c r="B74" s="4"/>
      <c r="H74" s="4">
        <v>37956</v>
      </c>
    </row>
    <row r="75" spans="1:8" x14ac:dyDescent="0.25">
      <c r="A75" s="2"/>
      <c r="B75" s="4"/>
      <c r="H75" s="4">
        <v>37987</v>
      </c>
    </row>
    <row r="76" spans="1:8" x14ac:dyDescent="0.25">
      <c r="A76" s="2"/>
      <c r="B76" s="4"/>
      <c r="H76" s="4">
        <v>38018</v>
      </c>
    </row>
    <row r="77" spans="1:8" x14ac:dyDescent="0.25">
      <c r="A77" s="2"/>
      <c r="B77" s="4"/>
      <c r="H77" s="4">
        <v>38047</v>
      </c>
    </row>
    <row r="78" spans="1:8" x14ac:dyDescent="0.25">
      <c r="A78" s="2"/>
      <c r="B78" s="4"/>
      <c r="H78" s="4">
        <v>38078</v>
      </c>
    </row>
    <row r="79" spans="1:8" x14ac:dyDescent="0.25">
      <c r="A79" s="2"/>
      <c r="B79" s="4"/>
      <c r="H79" s="4">
        <v>38108</v>
      </c>
    </row>
    <row r="80" spans="1:8" x14ac:dyDescent="0.25">
      <c r="A80" s="2"/>
      <c r="B80" s="4"/>
      <c r="H80" s="4">
        <v>38139</v>
      </c>
    </row>
    <row r="81" spans="1:8" x14ac:dyDescent="0.25">
      <c r="A81" s="2"/>
      <c r="B81" s="4"/>
      <c r="H81" s="4">
        <v>38169</v>
      </c>
    </row>
    <row r="82" spans="1:8" x14ac:dyDescent="0.25">
      <c r="A82" s="2"/>
      <c r="B82" s="4"/>
      <c r="H82" s="4">
        <v>38200</v>
      </c>
    </row>
    <row r="83" spans="1:8" x14ac:dyDescent="0.25">
      <c r="A83" s="2"/>
      <c r="B83" s="4"/>
      <c r="H83" s="4">
        <v>38231</v>
      </c>
    </row>
    <row r="84" spans="1:8" x14ac:dyDescent="0.25">
      <c r="A84" s="2"/>
      <c r="B84" s="4"/>
      <c r="H84" s="4">
        <v>38261</v>
      </c>
    </row>
    <row r="85" spans="1:8" x14ac:dyDescent="0.25">
      <c r="A85" s="2"/>
      <c r="B85" s="4"/>
      <c r="H85" s="4">
        <v>38292</v>
      </c>
    </row>
    <row r="86" spans="1:8" x14ac:dyDescent="0.25">
      <c r="A86" s="2"/>
      <c r="B86" s="4"/>
      <c r="H86" s="4">
        <v>38322</v>
      </c>
    </row>
    <row r="87" spans="1:8" x14ac:dyDescent="0.25">
      <c r="A87" s="2"/>
      <c r="B87" s="4"/>
      <c r="H87" s="4">
        <v>38353</v>
      </c>
    </row>
    <row r="88" spans="1:8" x14ac:dyDescent="0.25">
      <c r="A88" s="2"/>
      <c r="B88" s="4"/>
      <c r="H88" s="4">
        <v>38384</v>
      </c>
    </row>
    <row r="89" spans="1:8" x14ac:dyDescent="0.25">
      <c r="A89" s="2"/>
      <c r="B89" s="4"/>
      <c r="H89" s="4">
        <v>38412</v>
      </c>
    </row>
    <row r="90" spans="1:8" x14ac:dyDescent="0.25">
      <c r="A90" s="2"/>
      <c r="B90" s="4"/>
      <c r="H90" s="4">
        <v>38443</v>
      </c>
    </row>
    <row r="91" spans="1:8" x14ac:dyDescent="0.25">
      <c r="A91" s="2"/>
      <c r="B91" s="4"/>
      <c r="H91" s="4">
        <v>38473</v>
      </c>
    </row>
    <row r="92" spans="1:8" x14ac:dyDescent="0.25">
      <c r="A92" s="2"/>
      <c r="B92" s="4"/>
      <c r="H92" s="4">
        <v>38504</v>
      </c>
    </row>
    <row r="93" spans="1:8" x14ac:dyDescent="0.25">
      <c r="A93" s="2"/>
      <c r="B93" s="4"/>
      <c r="H93" s="4">
        <v>38534</v>
      </c>
    </row>
    <row r="94" spans="1:8" x14ac:dyDescent="0.25">
      <c r="A94" s="2"/>
      <c r="B94" s="4"/>
      <c r="H94" s="4">
        <v>38565</v>
      </c>
    </row>
    <row r="95" spans="1:8" x14ac:dyDescent="0.25">
      <c r="A95" s="2"/>
      <c r="B95" s="4"/>
      <c r="H95" s="4">
        <v>38596</v>
      </c>
    </row>
    <row r="96" spans="1:8" x14ac:dyDescent="0.25">
      <c r="A96" s="2"/>
      <c r="B96" s="4"/>
      <c r="H96" s="4">
        <v>38626</v>
      </c>
    </row>
    <row r="97" spans="1:8" x14ac:dyDescent="0.25">
      <c r="A97" s="2"/>
      <c r="B97" s="4"/>
      <c r="H97" s="4">
        <v>38657</v>
      </c>
    </row>
    <row r="98" spans="1:8" x14ac:dyDescent="0.25">
      <c r="A98" s="2"/>
      <c r="B98" s="4"/>
      <c r="H98" s="4">
        <v>38687</v>
      </c>
    </row>
    <row r="99" spans="1:8" x14ac:dyDescent="0.25">
      <c r="A99" s="2"/>
      <c r="B99" s="4"/>
      <c r="H99" s="4">
        <v>38718</v>
      </c>
    </row>
    <row r="100" spans="1:8" x14ac:dyDescent="0.25">
      <c r="A100" s="2"/>
      <c r="B100" s="4"/>
      <c r="H100" s="4">
        <v>38749</v>
      </c>
    </row>
    <row r="101" spans="1:8" x14ac:dyDescent="0.25">
      <c r="A101" s="2"/>
      <c r="B101" s="4"/>
      <c r="H101" s="4">
        <v>38777</v>
      </c>
    </row>
    <row r="102" spans="1:8" x14ac:dyDescent="0.25">
      <c r="A102" s="2"/>
      <c r="B102" s="4"/>
      <c r="H102" s="4">
        <v>38808</v>
      </c>
    </row>
    <row r="103" spans="1:8" x14ac:dyDescent="0.25">
      <c r="A103" s="2"/>
      <c r="B103" s="4"/>
      <c r="H103" s="4">
        <v>38838</v>
      </c>
    </row>
    <row r="104" spans="1:8" x14ac:dyDescent="0.25">
      <c r="A104" s="2"/>
      <c r="B104" s="4"/>
      <c r="H104" s="4">
        <v>38869</v>
      </c>
    </row>
    <row r="105" spans="1:8" x14ac:dyDescent="0.25">
      <c r="A105" s="2"/>
      <c r="B105" s="4"/>
      <c r="H105" s="4">
        <v>38899</v>
      </c>
    </row>
    <row r="106" spans="1:8" x14ac:dyDescent="0.25">
      <c r="A106" s="2"/>
      <c r="B106" s="4"/>
      <c r="H106" s="4">
        <v>38930</v>
      </c>
    </row>
    <row r="107" spans="1:8" x14ac:dyDescent="0.25">
      <c r="A107" s="2"/>
      <c r="B107" s="4"/>
      <c r="H107" s="4">
        <v>38961</v>
      </c>
    </row>
    <row r="108" spans="1:8" x14ac:dyDescent="0.25">
      <c r="A108" s="2"/>
      <c r="B108" s="4"/>
      <c r="H108" s="4">
        <v>38991</v>
      </c>
    </row>
    <row r="109" spans="1:8" x14ac:dyDescent="0.25">
      <c r="A109" s="2"/>
      <c r="B109" s="4"/>
      <c r="H109" s="4">
        <v>39022</v>
      </c>
    </row>
    <row r="110" spans="1:8" x14ac:dyDescent="0.25">
      <c r="A110" s="2"/>
      <c r="B110" s="4"/>
      <c r="H110" s="4">
        <v>39052</v>
      </c>
    </row>
    <row r="111" spans="1:8" x14ac:dyDescent="0.25">
      <c r="A111" s="2"/>
      <c r="B111" s="4"/>
      <c r="H111" s="4">
        <v>39083</v>
      </c>
    </row>
    <row r="112" spans="1:8" x14ac:dyDescent="0.25">
      <c r="A112" s="2"/>
      <c r="B112" s="4"/>
      <c r="H112" s="4">
        <v>39114</v>
      </c>
    </row>
    <row r="113" spans="1:8" x14ac:dyDescent="0.25">
      <c r="A113" s="2"/>
      <c r="B113" s="4"/>
      <c r="H113" s="4">
        <v>39142</v>
      </c>
    </row>
    <row r="114" spans="1:8" x14ac:dyDescent="0.25">
      <c r="A114" s="2"/>
      <c r="B114" s="4"/>
      <c r="H114" s="4">
        <v>39173</v>
      </c>
    </row>
    <row r="115" spans="1:8" x14ac:dyDescent="0.25">
      <c r="A115" s="2"/>
      <c r="B115" s="4"/>
      <c r="H115" s="4">
        <v>39203</v>
      </c>
    </row>
    <row r="116" spans="1:8" x14ac:dyDescent="0.25">
      <c r="A116" s="2"/>
      <c r="B116" s="4"/>
      <c r="H116" s="4">
        <v>39234</v>
      </c>
    </row>
    <row r="117" spans="1:8" x14ac:dyDescent="0.25">
      <c r="A117" s="2"/>
      <c r="B117" s="4"/>
      <c r="H117" s="4">
        <v>39264</v>
      </c>
    </row>
    <row r="118" spans="1:8" x14ac:dyDescent="0.25">
      <c r="A118" s="2"/>
      <c r="B118" s="4"/>
      <c r="H118" s="4">
        <v>39295</v>
      </c>
    </row>
    <row r="119" spans="1:8" x14ac:dyDescent="0.25">
      <c r="A119" s="2"/>
      <c r="B119" s="4"/>
      <c r="H119" s="4">
        <v>39326</v>
      </c>
    </row>
    <row r="120" spans="1:8" x14ac:dyDescent="0.25">
      <c r="A120" s="2"/>
      <c r="B120" s="4"/>
      <c r="H120" s="4">
        <v>39356</v>
      </c>
    </row>
    <row r="121" spans="1:8" x14ac:dyDescent="0.25">
      <c r="A121" s="2"/>
      <c r="B121" s="4"/>
      <c r="H121" s="4">
        <v>39387</v>
      </c>
    </row>
    <row r="122" spans="1:8" x14ac:dyDescent="0.25">
      <c r="A122" s="2"/>
      <c r="B122" s="4"/>
      <c r="H122" s="4">
        <v>39417</v>
      </c>
    </row>
    <row r="123" spans="1:8" x14ac:dyDescent="0.25">
      <c r="A123" s="2"/>
      <c r="B123" s="4"/>
      <c r="H123" s="4">
        <v>39448</v>
      </c>
    </row>
    <row r="124" spans="1:8" x14ac:dyDescent="0.25">
      <c r="A124" s="2"/>
      <c r="B124" s="4"/>
      <c r="H124" s="4">
        <v>39479</v>
      </c>
    </row>
    <row r="125" spans="1:8" x14ac:dyDescent="0.25">
      <c r="A125" s="2"/>
      <c r="B125" s="4"/>
      <c r="H125" s="4">
        <v>39508</v>
      </c>
    </row>
    <row r="126" spans="1:8" x14ac:dyDescent="0.25">
      <c r="A126" s="2"/>
      <c r="B126" s="4"/>
      <c r="H126" s="4">
        <v>39539</v>
      </c>
    </row>
    <row r="127" spans="1:8" x14ac:dyDescent="0.25">
      <c r="A127" s="2"/>
      <c r="B127" s="4"/>
      <c r="H127" s="4">
        <v>39569</v>
      </c>
    </row>
    <row r="128" spans="1:8" x14ac:dyDescent="0.25">
      <c r="A128" s="2"/>
      <c r="B128" s="4"/>
      <c r="H128" s="4">
        <v>39600</v>
      </c>
    </row>
    <row r="129" spans="1:8" x14ac:dyDescent="0.25">
      <c r="A129" s="2"/>
      <c r="B129" s="4"/>
      <c r="H129" s="4">
        <v>39630</v>
      </c>
    </row>
    <row r="130" spans="1:8" x14ac:dyDescent="0.25">
      <c r="A130" s="2"/>
      <c r="B130" s="4"/>
      <c r="H130" s="4">
        <v>39661</v>
      </c>
    </row>
    <row r="131" spans="1:8" x14ac:dyDescent="0.25">
      <c r="A131" s="2"/>
      <c r="B131" s="4"/>
      <c r="H131" s="4">
        <v>39692</v>
      </c>
    </row>
    <row r="132" spans="1:8" x14ac:dyDescent="0.25">
      <c r="A132" s="2"/>
      <c r="B132" s="4"/>
      <c r="H132" s="4">
        <v>39722</v>
      </c>
    </row>
    <row r="133" spans="1:8" x14ac:dyDescent="0.25">
      <c r="A133" s="2"/>
      <c r="B133" s="4"/>
      <c r="H133" s="4">
        <v>39753</v>
      </c>
    </row>
    <row r="134" spans="1:8" x14ac:dyDescent="0.25">
      <c r="A134" s="2"/>
      <c r="B134" s="4"/>
      <c r="H134" s="4">
        <v>39783</v>
      </c>
    </row>
    <row r="135" spans="1:8" x14ac:dyDescent="0.25">
      <c r="A135" s="2"/>
      <c r="B135" s="4"/>
      <c r="H135" s="4">
        <v>39814</v>
      </c>
    </row>
    <row r="136" spans="1:8" x14ac:dyDescent="0.25">
      <c r="A136" s="2"/>
      <c r="B136" s="4"/>
      <c r="H136" s="4">
        <v>39845</v>
      </c>
    </row>
    <row r="137" spans="1:8" x14ac:dyDescent="0.25">
      <c r="A137" s="2"/>
      <c r="B137" s="4"/>
      <c r="H137" s="4">
        <v>39873</v>
      </c>
    </row>
    <row r="138" spans="1:8" x14ac:dyDescent="0.25">
      <c r="A138" s="2"/>
      <c r="B138" s="4"/>
      <c r="H138" s="4">
        <v>39904</v>
      </c>
    </row>
    <row r="139" spans="1:8" x14ac:dyDescent="0.25">
      <c r="A139" s="2"/>
      <c r="B139" s="4"/>
      <c r="H139" s="4">
        <v>39934</v>
      </c>
    </row>
    <row r="140" spans="1:8" x14ac:dyDescent="0.25">
      <c r="A140" s="2"/>
      <c r="B140" s="4"/>
      <c r="H140" s="4">
        <v>39965</v>
      </c>
    </row>
    <row r="141" spans="1:8" x14ac:dyDescent="0.25">
      <c r="A141" s="2"/>
      <c r="B141" s="4"/>
      <c r="H141" s="4">
        <v>39995</v>
      </c>
    </row>
    <row r="142" spans="1:8" x14ac:dyDescent="0.25">
      <c r="A142" s="2"/>
      <c r="B142" s="4"/>
      <c r="H142" s="4">
        <v>40026</v>
      </c>
    </row>
    <row r="143" spans="1:8" x14ac:dyDescent="0.25">
      <c r="A143" s="2"/>
      <c r="B143" s="4"/>
      <c r="H143" s="4">
        <v>40057</v>
      </c>
    </row>
    <row r="144" spans="1:8" x14ac:dyDescent="0.25">
      <c r="A144" s="2"/>
      <c r="B144" s="4"/>
      <c r="H144" s="4">
        <v>40087</v>
      </c>
    </row>
    <row r="145" spans="1:8" x14ac:dyDescent="0.25">
      <c r="A145" s="2"/>
      <c r="B145" s="4"/>
      <c r="H145" s="4">
        <v>40118</v>
      </c>
    </row>
    <row r="146" spans="1:8" x14ac:dyDescent="0.25">
      <c r="A146" s="2"/>
      <c r="B146" s="4"/>
      <c r="H146" s="4">
        <v>40148</v>
      </c>
    </row>
    <row r="147" spans="1:8" x14ac:dyDescent="0.25">
      <c r="A147" s="2"/>
      <c r="B147" s="4"/>
      <c r="H147" s="4">
        <v>40179</v>
      </c>
    </row>
    <row r="148" spans="1:8" x14ac:dyDescent="0.25">
      <c r="A148" s="2"/>
      <c r="B148" s="4"/>
      <c r="H148" s="4">
        <v>40210</v>
      </c>
    </row>
    <row r="149" spans="1:8" x14ac:dyDescent="0.25">
      <c r="A149" s="2"/>
      <c r="B149" s="4"/>
      <c r="H149" s="4">
        <v>40238</v>
      </c>
    </row>
    <row r="150" spans="1:8" x14ac:dyDescent="0.25">
      <c r="A150" s="2"/>
      <c r="B150" s="4"/>
      <c r="H150" s="4">
        <v>40269</v>
      </c>
    </row>
    <row r="151" spans="1:8" x14ac:dyDescent="0.25">
      <c r="A151" s="2"/>
      <c r="B151" s="4"/>
      <c r="H151" s="4">
        <v>40299</v>
      </c>
    </row>
    <row r="152" spans="1:8" x14ac:dyDescent="0.25">
      <c r="A152" s="2"/>
      <c r="B152" s="4"/>
      <c r="H152" s="4">
        <v>40330</v>
      </c>
    </row>
    <row r="153" spans="1:8" x14ac:dyDescent="0.25">
      <c r="A153" s="2"/>
      <c r="B153" s="4"/>
      <c r="H153" s="4">
        <v>40360</v>
      </c>
    </row>
    <row r="154" spans="1:8" x14ac:dyDescent="0.25">
      <c r="A154" s="2"/>
      <c r="B154" s="4"/>
      <c r="H154" s="4">
        <v>40391</v>
      </c>
    </row>
    <row r="155" spans="1:8" x14ac:dyDescent="0.25">
      <c r="A155" s="2"/>
      <c r="B155" s="4"/>
      <c r="H155" s="4">
        <v>40422</v>
      </c>
    </row>
    <row r="156" spans="1:8" x14ac:dyDescent="0.25">
      <c r="A156" s="2"/>
      <c r="B156" s="4"/>
      <c r="H156" s="4">
        <v>40452</v>
      </c>
    </row>
    <row r="157" spans="1:8" x14ac:dyDescent="0.25">
      <c r="A157" s="2"/>
      <c r="B157" s="4"/>
      <c r="H157" s="4">
        <v>40483</v>
      </c>
    </row>
    <row r="158" spans="1:8" x14ac:dyDescent="0.25">
      <c r="A158" s="2"/>
      <c r="B158" s="4"/>
      <c r="H158" s="4">
        <v>40513</v>
      </c>
    </row>
    <row r="159" spans="1:8" x14ac:dyDescent="0.25">
      <c r="A159" s="2"/>
      <c r="B159" s="4"/>
      <c r="H159" s="4">
        <v>40544</v>
      </c>
    </row>
    <row r="160" spans="1:8" x14ac:dyDescent="0.25">
      <c r="A160" s="2"/>
      <c r="B160" s="4"/>
      <c r="H160" s="4">
        <v>40575</v>
      </c>
    </row>
    <row r="161" spans="1:8" x14ac:dyDescent="0.25">
      <c r="A161" s="2"/>
      <c r="B161" s="4"/>
      <c r="H161" s="4">
        <v>40603</v>
      </c>
    </row>
    <row r="162" spans="1:8" x14ac:dyDescent="0.25">
      <c r="A162" s="2"/>
      <c r="B162" s="4"/>
      <c r="H162" s="4">
        <v>40634</v>
      </c>
    </row>
    <row r="163" spans="1:8" x14ac:dyDescent="0.25">
      <c r="A163" s="2"/>
      <c r="B163" s="4"/>
      <c r="H163" s="4">
        <v>40664</v>
      </c>
    </row>
    <row r="164" spans="1:8" x14ac:dyDescent="0.25">
      <c r="A164" s="2"/>
      <c r="B164" s="4"/>
      <c r="H164" s="4">
        <v>40695</v>
      </c>
    </row>
    <row r="165" spans="1:8" x14ac:dyDescent="0.25">
      <c r="A165" s="2"/>
      <c r="B165" s="4"/>
      <c r="H165" s="4">
        <v>40725</v>
      </c>
    </row>
    <row r="166" spans="1:8" x14ac:dyDescent="0.25">
      <c r="A166" s="2"/>
      <c r="B166" s="4"/>
      <c r="H166" s="4">
        <v>40756</v>
      </c>
    </row>
    <row r="167" spans="1:8" x14ac:dyDescent="0.25">
      <c r="A167" s="2"/>
      <c r="B167" s="4"/>
      <c r="H167" s="4">
        <v>40787</v>
      </c>
    </row>
    <row r="168" spans="1:8" x14ac:dyDescent="0.25">
      <c r="A168" s="2"/>
      <c r="B168" s="4"/>
      <c r="H168" s="4">
        <v>40817</v>
      </c>
    </row>
    <row r="169" spans="1:8" x14ac:dyDescent="0.25">
      <c r="A169" s="2"/>
      <c r="B169" s="4"/>
      <c r="H169" s="4">
        <v>40848</v>
      </c>
    </row>
    <row r="170" spans="1:8" x14ac:dyDescent="0.25">
      <c r="A170" s="2"/>
      <c r="B170" s="4"/>
      <c r="H170" s="4">
        <v>40878</v>
      </c>
    </row>
    <row r="171" spans="1:8" x14ac:dyDescent="0.25">
      <c r="A171" s="2"/>
      <c r="B171" s="4"/>
      <c r="H171" s="4">
        <v>40909</v>
      </c>
    </row>
    <row r="172" spans="1:8" x14ac:dyDescent="0.25">
      <c r="A172" s="2"/>
      <c r="B172" s="4"/>
      <c r="H172" s="4">
        <v>40940</v>
      </c>
    </row>
    <row r="173" spans="1:8" x14ac:dyDescent="0.25">
      <c r="A173" s="2"/>
      <c r="B173" s="4"/>
      <c r="H173" s="4">
        <v>40969</v>
      </c>
    </row>
    <row r="174" spans="1:8" x14ac:dyDescent="0.25">
      <c r="A174" s="2"/>
      <c r="B174" s="4"/>
      <c r="H174" s="4">
        <v>41000</v>
      </c>
    </row>
    <row r="175" spans="1:8" x14ac:dyDescent="0.25">
      <c r="A175" s="2"/>
      <c r="B175" s="4"/>
      <c r="H175" s="4">
        <v>41030</v>
      </c>
    </row>
    <row r="176" spans="1:8" x14ac:dyDescent="0.25">
      <c r="A176" s="2"/>
      <c r="B176" s="4"/>
      <c r="H176" s="4">
        <v>41061</v>
      </c>
    </row>
    <row r="177" spans="1:8" x14ac:dyDescent="0.25">
      <c r="A177" s="2"/>
      <c r="B177" s="4"/>
      <c r="H177" s="4">
        <v>41091</v>
      </c>
    </row>
    <row r="178" spans="1:8" x14ac:dyDescent="0.25">
      <c r="A178" s="2"/>
      <c r="B178" s="4"/>
      <c r="H178" s="4">
        <v>41122</v>
      </c>
    </row>
    <row r="179" spans="1:8" x14ac:dyDescent="0.25">
      <c r="A179" s="2"/>
      <c r="B179" s="4"/>
      <c r="H179" s="4">
        <v>41153</v>
      </c>
    </row>
    <row r="180" spans="1:8" x14ac:dyDescent="0.25">
      <c r="A180" s="2"/>
      <c r="B180" s="4"/>
      <c r="H180" s="4">
        <v>41183</v>
      </c>
    </row>
    <row r="181" spans="1:8" x14ac:dyDescent="0.25">
      <c r="A181" s="2"/>
      <c r="B181" s="4"/>
      <c r="H181" s="4">
        <v>41214</v>
      </c>
    </row>
    <row r="182" spans="1:8" x14ac:dyDescent="0.25">
      <c r="A182" s="2"/>
      <c r="B182" s="4"/>
      <c r="H182" s="4">
        <v>41244</v>
      </c>
    </row>
    <row r="183" spans="1:8" x14ac:dyDescent="0.25">
      <c r="A183" s="2"/>
      <c r="B183" s="4"/>
      <c r="H183" s="4">
        <v>41275</v>
      </c>
    </row>
    <row r="184" spans="1:8" x14ac:dyDescent="0.25">
      <c r="A184" s="2"/>
      <c r="B184" s="4"/>
      <c r="H184" s="4">
        <v>41306</v>
      </c>
    </row>
    <row r="185" spans="1:8" x14ac:dyDescent="0.25">
      <c r="A185" s="2"/>
      <c r="B185" s="4"/>
      <c r="H185" s="4">
        <v>41334</v>
      </c>
    </row>
    <row r="186" spans="1:8" x14ac:dyDescent="0.25">
      <c r="A186" s="2"/>
      <c r="B186" s="4"/>
      <c r="H186" s="4">
        <v>41365</v>
      </c>
    </row>
    <row r="187" spans="1:8" x14ac:dyDescent="0.25">
      <c r="A187" s="2"/>
      <c r="B187" s="4"/>
      <c r="H187" s="4">
        <v>41395</v>
      </c>
    </row>
    <row r="188" spans="1:8" x14ac:dyDescent="0.25">
      <c r="A188" s="2"/>
      <c r="B188" s="4"/>
      <c r="H188" s="4">
        <v>41426</v>
      </c>
    </row>
    <row r="189" spans="1:8" x14ac:dyDescent="0.25">
      <c r="A189" s="2"/>
      <c r="B189" s="4"/>
      <c r="H189" s="4">
        <v>41456</v>
      </c>
    </row>
    <row r="190" spans="1:8" x14ac:dyDescent="0.25">
      <c r="A190" s="2"/>
      <c r="B190" s="4"/>
      <c r="H190" s="4">
        <v>41487</v>
      </c>
    </row>
    <row r="191" spans="1:8" x14ac:dyDescent="0.25">
      <c r="A191" s="2"/>
      <c r="B191" s="4"/>
      <c r="H191" s="4">
        <v>41518</v>
      </c>
    </row>
    <row r="192" spans="1:8" x14ac:dyDescent="0.25">
      <c r="A192" s="2"/>
      <c r="B192" s="4"/>
      <c r="H192" s="4">
        <v>41548</v>
      </c>
    </row>
    <row r="193" spans="1:8" x14ac:dyDescent="0.25">
      <c r="A193" s="2"/>
      <c r="B193" s="4"/>
      <c r="H193" s="4">
        <v>41579</v>
      </c>
    </row>
    <row r="194" spans="1:8" x14ac:dyDescent="0.25">
      <c r="A194" s="2"/>
      <c r="B194" s="4"/>
      <c r="H194" s="4">
        <v>41609</v>
      </c>
    </row>
    <row r="195" spans="1:8" x14ac:dyDescent="0.25">
      <c r="A195" s="2"/>
      <c r="B195" s="4"/>
      <c r="H195" s="4">
        <v>41640</v>
      </c>
    </row>
    <row r="196" spans="1:8" x14ac:dyDescent="0.25">
      <c r="A196" s="2"/>
      <c r="B196" s="4"/>
      <c r="H196" s="4">
        <v>41671</v>
      </c>
    </row>
    <row r="197" spans="1:8" x14ac:dyDescent="0.25">
      <c r="A197" s="2"/>
      <c r="B197" s="4"/>
      <c r="H197" s="4">
        <v>41699</v>
      </c>
    </row>
    <row r="198" spans="1:8" x14ac:dyDescent="0.25">
      <c r="A198" s="2"/>
      <c r="B198" s="4"/>
      <c r="H198" s="4">
        <v>41730</v>
      </c>
    </row>
    <row r="199" spans="1:8" x14ac:dyDescent="0.25">
      <c r="A199" s="2"/>
      <c r="B199" s="4"/>
      <c r="H199" s="4">
        <v>41760</v>
      </c>
    </row>
    <row r="200" spans="1:8" x14ac:dyDescent="0.25">
      <c r="A200" s="2"/>
      <c r="B200" s="4"/>
      <c r="H200" s="4">
        <v>41791</v>
      </c>
    </row>
    <row r="201" spans="1:8" x14ac:dyDescent="0.25">
      <c r="A201" s="2"/>
      <c r="B201" s="4"/>
      <c r="H201" s="4">
        <v>41821</v>
      </c>
    </row>
    <row r="202" spans="1:8" x14ac:dyDescent="0.25">
      <c r="A202" s="2"/>
      <c r="B202" s="4"/>
      <c r="H202" s="4">
        <v>41852</v>
      </c>
    </row>
    <row r="203" spans="1:8" x14ac:dyDescent="0.25">
      <c r="A203" s="2"/>
      <c r="B203" s="4"/>
      <c r="H203" s="4">
        <v>41883</v>
      </c>
    </row>
    <row r="204" spans="1:8" x14ac:dyDescent="0.25">
      <c r="A204" s="2"/>
      <c r="B204" s="4"/>
      <c r="H204" s="4">
        <v>41913</v>
      </c>
    </row>
    <row r="205" spans="1:8" x14ac:dyDescent="0.25">
      <c r="A205" s="2"/>
      <c r="B205" s="4"/>
      <c r="H205" s="4">
        <v>41944</v>
      </c>
    </row>
    <row r="206" spans="1:8" x14ac:dyDescent="0.25">
      <c r="A206" s="2"/>
      <c r="B206" s="4"/>
      <c r="H206" s="4">
        <v>41974</v>
      </c>
    </row>
    <row r="207" spans="1:8" x14ac:dyDescent="0.25">
      <c r="A207" s="2"/>
      <c r="B207" s="4"/>
      <c r="H207" s="4">
        <v>42005</v>
      </c>
    </row>
    <row r="208" spans="1:8" x14ac:dyDescent="0.25">
      <c r="A208" s="2"/>
      <c r="B208" s="4"/>
      <c r="H208" s="4">
        <v>42036</v>
      </c>
    </row>
    <row r="209" spans="1:8" x14ac:dyDescent="0.25">
      <c r="A209" s="2"/>
      <c r="B209" s="4"/>
      <c r="H209" s="4">
        <v>42064</v>
      </c>
    </row>
    <row r="210" spans="1:8" x14ac:dyDescent="0.25">
      <c r="A210" s="2"/>
      <c r="B210" s="4"/>
      <c r="H210" s="4">
        <v>42095</v>
      </c>
    </row>
    <row r="211" spans="1:8" x14ac:dyDescent="0.25">
      <c r="A211" s="2"/>
      <c r="B211" s="4"/>
      <c r="H211" s="4">
        <v>42125</v>
      </c>
    </row>
    <row r="212" spans="1:8" x14ac:dyDescent="0.25">
      <c r="A212" s="2"/>
      <c r="B212" s="4"/>
      <c r="H212" s="4">
        <v>42156</v>
      </c>
    </row>
    <row r="213" spans="1:8" x14ac:dyDescent="0.25">
      <c r="A213" s="2"/>
      <c r="B213" s="4"/>
      <c r="H213" s="4">
        <v>42186</v>
      </c>
    </row>
    <row r="214" spans="1:8" x14ac:dyDescent="0.25">
      <c r="A214" s="2"/>
      <c r="B214" s="4"/>
      <c r="H214" s="4">
        <v>42217</v>
      </c>
    </row>
    <row r="215" spans="1:8" x14ac:dyDescent="0.25">
      <c r="A215" s="2"/>
      <c r="B215" s="4"/>
      <c r="H215" s="4">
        <v>42248</v>
      </c>
    </row>
    <row r="216" spans="1:8" x14ac:dyDescent="0.25">
      <c r="A216" s="2"/>
      <c r="B216" s="4"/>
      <c r="H216" s="4">
        <v>42278</v>
      </c>
    </row>
    <row r="217" spans="1:8" x14ac:dyDescent="0.25">
      <c r="A217" s="2"/>
      <c r="B217" s="4"/>
      <c r="H217" s="4">
        <v>42309</v>
      </c>
    </row>
    <row r="218" spans="1:8" x14ac:dyDescent="0.25">
      <c r="A218" s="2"/>
      <c r="B218" s="4"/>
      <c r="H218" s="4">
        <v>42339</v>
      </c>
    </row>
    <row r="219" spans="1:8" x14ac:dyDescent="0.25">
      <c r="A219" s="2"/>
      <c r="B219" s="4"/>
      <c r="H219" s="4">
        <v>42370</v>
      </c>
    </row>
    <row r="220" spans="1:8" x14ac:dyDescent="0.25">
      <c r="A220" s="2"/>
      <c r="B220" s="4"/>
      <c r="H220" s="4">
        <v>42401</v>
      </c>
    </row>
    <row r="221" spans="1:8" x14ac:dyDescent="0.25">
      <c r="A221" s="2"/>
      <c r="B221" s="4"/>
      <c r="H221" s="4">
        <v>42430</v>
      </c>
    </row>
    <row r="222" spans="1:8" x14ac:dyDescent="0.25">
      <c r="A222" s="2"/>
      <c r="B222" s="4"/>
      <c r="H222" s="4">
        <v>42461</v>
      </c>
    </row>
    <row r="223" spans="1:8" x14ac:dyDescent="0.25">
      <c r="A223" s="2"/>
      <c r="B223" s="4"/>
      <c r="H223" s="4">
        <v>42491</v>
      </c>
    </row>
    <row r="224" spans="1:8" x14ac:dyDescent="0.25">
      <c r="A224" s="2"/>
      <c r="B224" s="4"/>
      <c r="H224" s="4">
        <v>42522</v>
      </c>
    </row>
    <row r="225" spans="1:8" x14ac:dyDescent="0.25">
      <c r="A225" s="2"/>
      <c r="B225" s="4"/>
      <c r="H225" s="4">
        <v>42552</v>
      </c>
    </row>
    <row r="226" spans="1:8" x14ac:dyDescent="0.25">
      <c r="A226" s="2"/>
      <c r="B226" s="4"/>
      <c r="H226" s="4">
        <v>42583</v>
      </c>
    </row>
    <row r="227" spans="1:8" x14ac:dyDescent="0.25">
      <c r="A227" s="2"/>
      <c r="B227" s="4"/>
      <c r="H227" s="4">
        <v>42614</v>
      </c>
    </row>
    <row r="228" spans="1:8" x14ac:dyDescent="0.25">
      <c r="A228" s="2"/>
      <c r="B228" s="4"/>
      <c r="H228" s="4">
        <v>42644</v>
      </c>
    </row>
    <row r="229" spans="1:8" x14ac:dyDescent="0.25">
      <c r="A229" s="2"/>
      <c r="B229" s="4"/>
      <c r="H229" s="4">
        <v>42675</v>
      </c>
    </row>
    <row r="230" spans="1:8" x14ac:dyDescent="0.25">
      <c r="A230" s="2"/>
      <c r="B230" s="4"/>
      <c r="H230" s="4">
        <v>42705</v>
      </c>
    </row>
    <row r="231" spans="1:8" x14ac:dyDescent="0.25">
      <c r="A231" s="2"/>
      <c r="B231" s="4"/>
      <c r="H231" s="4">
        <v>42736</v>
      </c>
    </row>
    <row r="232" spans="1:8" x14ac:dyDescent="0.25">
      <c r="A232" s="2"/>
      <c r="B232" s="4"/>
      <c r="H232" s="4">
        <v>42767</v>
      </c>
    </row>
    <row r="233" spans="1:8" x14ac:dyDescent="0.25">
      <c r="A233" s="2"/>
      <c r="B233" s="4"/>
      <c r="H233" s="4">
        <v>42795</v>
      </c>
    </row>
    <row r="234" spans="1:8" x14ac:dyDescent="0.25">
      <c r="A234" s="2"/>
      <c r="B234" s="4"/>
      <c r="H234" s="4">
        <v>42826</v>
      </c>
    </row>
    <row r="235" spans="1:8" x14ac:dyDescent="0.25">
      <c r="A235" s="2"/>
      <c r="B235" s="4"/>
      <c r="H235" s="4">
        <v>42856</v>
      </c>
    </row>
    <row r="236" spans="1:8" x14ac:dyDescent="0.25">
      <c r="A236" s="2"/>
      <c r="B236" s="4"/>
      <c r="H236" s="4">
        <v>42887</v>
      </c>
    </row>
    <row r="237" spans="1:8" x14ac:dyDescent="0.25">
      <c r="A237" s="2"/>
      <c r="B237" s="4"/>
      <c r="H237" s="4">
        <v>42917</v>
      </c>
    </row>
    <row r="238" spans="1:8" x14ac:dyDescent="0.25">
      <c r="A238" s="2"/>
      <c r="B238" s="4"/>
      <c r="H238" s="4">
        <v>42948</v>
      </c>
    </row>
    <row r="239" spans="1:8" x14ac:dyDescent="0.25">
      <c r="A239" s="2"/>
      <c r="B239" s="4"/>
      <c r="H239" s="4">
        <v>42979</v>
      </c>
    </row>
    <row r="240" spans="1:8" x14ac:dyDescent="0.25">
      <c r="A240" s="2"/>
      <c r="B240" s="4"/>
      <c r="H240" s="4">
        <v>43009</v>
      </c>
    </row>
    <row r="241" spans="1:8" x14ac:dyDescent="0.25">
      <c r="A241" s="2"/>
      <c r="B241" s="4"/>
      <c r="H241" s="4">
        <v>43040</v>
      </c>
    </row>
    <row r="242" spans="1:8" x14ac:dyDescent="0.25">
      <c r="A242" s="2"/>
      <c r="B242" s="4"/>
      <c r="H242" s="4">
        <v>43070</v>
      </c>
    </row>
    <row r="243" spans="1:8" x14ac:dyDescent="0.25">
      <c r="A243" s="2"/>
      <c r="B243" s="4"/>
      <c r="H243" s="4">
        <v>43101</v>
      </c>
    </row>
    <row r="244" spans="1:8" x14ac:dyDescent="0.25">
      <c r="A244" s="2"/>
      <c r="B244" s="4"/>
      <c r="H244" s="4">
        <v>43132</v>
      </c>
    </row>
    <row r="245" spans="1:8" x14ac:dyDescent="0.25">
      <c r="A245" s="2"/>
      <c r="B245" s="4"/>
      <c r="H245" s="4">
        <v>43160</v>
      </c>
    </row>
    <row r="246" spans="1:8" x14ac:dyDescent="0.25">
      <c r="A246" s="2"/>
      <c r="B246" s="4"/>
      <c r="H246" s="4">
        <v>43191</v>
      </c>
    </row>
    <row r="247" spans="1:8" x14ac:dyDescent="0.25">
      <c r="A247" s="2"/>
      <c r="B247" s="4"/>
      <c r="H247" s="4">
        <v>43221</v>
      </c>
    </row>
    <row r="248" spans="1:8" x14ac:dyDescent="0.25">
      <c r="A248" s="2"/>
      <c r="B248" s="4"/>
      <c r="H248" s="4">
        <v>43252</v>
      </c>
    </row>
    <row r="249" spans="1:8" x14ac:dyDescent="0.25">
      <c r="A249" s="2"/>
      <c r="B249" s="4"/>
      <c r="H249" s="4">
        <v>43282</v>
      </c>
    </row>
    <row r="250" spans="1:8" x14ac:dyDescent="0.25">
      <c r="A250" s="2"/>
      <c r="B250" s="4"/>
      <c r="H250" s="4">
        <v>43313</v>
      </c>
    </row>
    <row r="251" spans="1:8" x14ac:dyDescent="0.25">
      <c r="A251" s="2"/>
      <c r="H251" s="4">
        <v>43344</v>
      </c>
    </row>
    <row r="252" spans="1:8" x14ac:dyDescent="0.25">
      <c r="A252" s="2"/>
      <c r="H252" s="4">
        <v>43374</v>
      </c>
    </row>
    <row r="253" spans="1:8" x14ac:dyDescent="0.25">
      <c r="A253" s="2"/>
      <c r="H253" s="4">
        <v>43405</v>
      </c>
    </row>
    <row r="254" spans="1:8" x14ac:dyDescent="0.25">
      <c r="A254" s="2"/>
      <c r="H254" s="4">
        <v>43435</v>
      </c>
    </row>
    <row r="255" spans="1:8" x14ac:dyDescent="0.25">
      <c r="A255" s="2"/>
      <c r="H255" s="4">
        <v>43466</v>
      </c>
    </row>
    <row r="256" spans="1:8" x14ac:dyDescent="0.25">
      <c r="A256" s="2"/>
      <c r="H256" s="4">
        <v>43497</v>
      </c>
    </row>
    <row r="257" spans="1:8" x14ac:dyDescent="0.25">
      <c r="A257" s="2"/>
      <c r="H257" s="4">
        <v>43525</v>
      </c>
    </row>
    <row r="258" spans="1:8" x14ac:dyDescent="0.25">
      <c r="A258" s="2"/>
      <c r="H258" s="4">
        <v>43556</v>
      </c>
    </row>
    <row r="259" spans="1:8" x14ac:dyDescent="0.25">
      <c r="A259" s="2"/>
      <c r="H259" s="4">
        <v>43586</v>
      </c>
    </row>
    <row r="260" spans="1:8" x14ac:dyDescent="0.25">
      <c r="A260" s="2"/>
      <c r="H260" s="4">
        <v>43617</v>
      </c>
    </row>
    <row r="261" spans="1:8" x14ac:dyDescent="0.25">
      <c r="A261" s="2"/>
      <c r="H261" s="4">
        <v>43647</v>
      </c>
    </row>
    <row r="262" spans="1:8" x14ac:dyDescent="0.25">
      <c r="A262" s="2"/>
      <c r="H262" s="4">
        <v>43678</v>
      </c>
    </row>
    <row r="263" spans="1:8" x14ac:dyDescent="0.25">
      <c r="H263" s="4">
        <v>43709</v>
      </c>
    </row>
    <row r="264" spans="1:8" x14ac:dyDescent="0.25">
      <c r="H264" s="4">
        <v>43739</v>
      </c>
    </row>
    <row r="265" spans="1:8" x14ac:dyDescent="0.25">
      <c r="H265" s="4">
        <v>43770</v>
      </c>
    </row>
    <row r="266" spans="1:8" x14ac:dyDescent="0.25">
      <c r="H266" s="4">
        <v>43800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6"/>
  <sheetViews>
    <sheetView topLeftCell="A247" zoomScale="87" zoomScaleNormal="87" workbookViewId="0">
      <selection activeCell="O24" sqref="O24"/>
    </sheetView>
  </sheetViews>
  <sheetFormatPr defaultRowHeight="11.25" x14ac:dyDescent="0.2"/>
  <cols>
    <col min="1" max="3" width="9.140625" style="1"/>
    <col min="4" max="4" width="14.7109375" style="16" customWidth="1"/>
    <col min="5" max="5" width="18" style="18" customWidth="1"/>
    <col min="6" max="6" width="16.7109375" style="18" customWidth="1"/>
    <col min="7" max="7" width="17.7109375" style="18" customWidth="1"/>
    <col min="8" max="14" width="9.140625" style="1"/>
    <col min="15" max="15" width="17.42578125" style="1" customWidth="1"/>
    <col min="16" max="16" width="15.5703125" style="1" customWidth="1"/>
    <col min="17" max="17" width="21.5703125" style="1" customWidth="1"/>
    <col min="18" max="16384" width="9.140625" style="1"/>
  </cols>
  <sheetData>
    <row r="1" spans="1:7" ht="12.75" x14ac:dyDescent="0.2">
      <c r="D1" s="16" t="s">
        <v>19</v>
      </c>
      <c r="E1" s="52"/>
      <c r="F1" s="52"/>
      <c r="G1" s="52"/>
    </row>
    <row r="2" spans="1:7" x14ac:dyDescent="0.2">
      <c r="D2" s="25"/>
      <c r="E2" s="19"/>
      <c r="F2" s="19"/>
      <c r="G2" s="19"/>
    </row>
    <row r="3" spans="1:7" x14ac:dyDescent="0.2">
      <c r="D3" s="17" t="s">
        <v>23</v>
      </c>
      <c r="E3" s="20" t="s">
        <v>16</v>
      </c>
      <c r="F3" s="20" t="s">
        <v>17</v>
      </c>
      <c r="G3" s="21" t="s">
        <v>18</v>
      </c>
    </row>
    <row r="4" spans="1:7" ht="15" x14ac:dyDescent="0.25">
      <c r="A4" s="1" t="str">
        <f>CONCATENATE(B4,C4)</f>
        <v>19981</v>
      </c>
      <c r="B4" s="1">
        <f>YEAR(D4)</f>
        <v>1998</v>
      </c>
      <c r="C4" s="1">
        <f>MONTH(D4)</f>
        <v>1</v>
      </c>
      <c r="D4" s="26">
        <v>35796</v>
      </c>
      <c r="E4" s="22">
        <v>32577</v>
      </c>
      <c r="F4" s="22">
        <v>14895</v>
      </c>
      <c r="G4" s="22">
        <v>5405</v>
      </c>
    </row>
    <row r="5" spans="1:7" ht="15" x14ac:dyDescent="0.25">
      <c r="A5" s="1" t="str">
        <f t="shared" ref="A5:A68" si="0">CONCATENATE(B5,C5)</f>
        <v>19982</v>
      </c>
      <c r="B5" s="1">
        <f t="shared" ref="B5:B68" si="1">YEAR(D5)</f>
        <v>1998</v>
      </c>
      <c r="C5" s="1">
        <f t="shared" ref="C5:C68" si="2">MONTH(D5)</f>
        <v>2</v>
      </c>
      <c r="D5" s="26">
        <v>35827</v>
      </c>
      <c r="E5" s="22">
        <v>30122</v>
      </c>
      <c r="F5" s="22">
        <v>12251</v>
      </c>
      <c r="G5" s="22">
        <v>5996</v>
      </c>
    </row>
    <row r="6" spans="1:7" ht="15" x14ac:dyDescent="0.25">
      <c r="A6" s="1" t="str">
        <f t="shared" si="0"/>
        <v>19983</v>
      </c>
      <c r="B6" s="1">
        <f t="shared" si="1"/>
        <v>1998</v>
      </c>
      <c r="C6" s="1">
        <f t="shared" si="2"/>
        <v>3</v>
      </c>
      <c r="D6" s="26">
        <v>35855</v>
      </c>
      <c r="E6" s="22">
        <v>25516</v>
      </c>
      <c r="F6" s="22">
        <v>11457</v>
      </c>
      <c r="G6" s="22">
        <v>5422</v>
      </c>
    </row>
    <row r="7" spans="1:7" ht="15" x14ac:dyDescent="0.25">
      <c r="A7" s="1" t="str">
        <f t="shared" si="0"/>
        <v>19984</v>
      </c>
      <c r="B7" s="1">
        <f t="shared" si="1"/>
        <v>1998</v>
      </c>
      <c r="C7" s="1">
        <f t="shared" si="2"/>
        <v>4</v>
      </c>
      <c r="D7" s="26">
        <v>35886</v>
      </c>
      <c r="E7" s="22">
        <v>31850</v>
      </c>
      <c r="F7" s="22">
        <v>13647</v>
      </c>
      <c r="G7" s="22">
        <v>6232</v>
      </c>
    </row>
    <row r="8" spans="1:7" ht="15" x14ac:dyDescent="0.25">
      <c r="A8" s="1" t="str">
        <f t="shared" si="0"/>
        <v>19985</v>
      </c>
      <c r="B8" s="1">
        <f t="shared" si="1"/>
        <v>1998</v>
      </c>
      <c r="C8" s="1">
        <f t="shared" si="2"/>
        <v>5</v>
      </c>
      <c r="D8" s="26">
        <v>35916</v>
      </c>
      <c r="E8" s="22">
        <v>28953</v>
      </c>
      <c r="F8" s="22">
        <v>12981</v>
      </c>
      <c r="G8" s="22">
        <v>5765</v>
      </c>
    </row>
    <row r="9" spans="1:7" ht="15" x14ac:dyDescent="0.25">
      <c r="A9" s="1" t="str">
        <f t="shared" si="0"/>
        <v>19986</v>
      </c>
      <c r="B9" s="1">
        <f t="shared" si="1"/>
        <v>1998</v>
      </c>
      <c r="C9" s="1">
        <f t="shared" si="2"/>
        <v>6</v>
      </c>
      <c r="D9" s="26">
        <v>35947</v>
      </c>
      <c r="E9" s="22">
        <v>20242</v>
      </c>
      <c r="F9" s="22">
        <v>9198</v>
      </c>
      <c r="G9" s="22">
        <v>6364</v>
      </c>
    </row>
    <row r="10" spans="1:7" ht="15" x14ac:dyDescent="0.25">
      <c r="A10" s="1" t="str">
        <f t="shared" si="0"/>
        <v>19987</v>
      </c>
      <c r="B10" s="1">
        <f t="shared" si="1"/>
        <v>1998</v>
      </c>
      <c r="C10" s="1">
        <f t="shared" si="2"/>
        <v>7</v>
      </c>
      <c r="D10" s="26">
        <v>35977</v>
      </c>
      <c r="E10" s="22">
        <v>21433</v>
      </c>
      <c r="F10" s="22">
        <v>9683</v>
      </c>
      <c r="G10" s="22">
        <v>5673</v>
      </c>
    </row>
    <row r="11" spans="1:7" ht="15" x14ac:dyDescent="0.25">
      <c r="A11" s="1" t="str">
        <f t="shared" si="0"/>
        <v>19988</v>
      </c>
      <c r="B11" s="1">
        <f t="shared" si="1"/>
        <v>1998</v>
      </c>
      <c r="C11" s="1">
        <f t="shared" si="2"/>
        <v>8</v>
      </c>
      <c r="D11" s="26">
        <v>36008</v>
      </c>
      <c r="E11" s="22">
        <v>28224</v>
      </c>
      <c r="F11" s="22">
        <v>12641</v>
      </c>
      <c r="G11" s="22">
        <v>5374</v>
      </c>
    </row>
    <row r="12" spans="1:7" ht="15" x14ac:dyDescent="0.25">
      <c r="A12" s="1" t="str">
        <f t="shared" si="0"/>
        <v>19989</v>
      </c>
      <c r="B12" s="1">
        <f t="shared" si="1"/>
        <v>1998</v>
      </c>
      <c r="C12" s="1">
        <f t="shared" si="2"/>
        <v>9</v>
      </c>
      <c r="D12" s="26">
        <v>36039</v>
      </c>
      <c r="E12" s="22">
        <v>27262</v>
      </c>
      <c r="F12" s="22">
        <v>12234</v>
      </c>
      <c r="G12" s="22">
        <v>5625</v>
      </c>
    </row>
    <row r="13" spans="1:7" ht="15" x14ac:dyDescent="0.25">
      <c r="A13" s="1" t="str">
        <f t="shared" si="0"/>
        <v>199810</v>
      </c>
      <c r="B13" s="1">
        <f t="shared" si="1"/>
        <v>1998</v>
      </c>
      <c r="C13" s="1">
        <f t="shared" si="2"/>
        <v>10</v>
      </c>
      <c r="D13" s="26">
        <v>36069</v>
      </c>
      <c r="E13" s="22">
        <v>23115</v>
      </c>
      <c r="F13" s="22">
        <v>10409</v>
      </c>
      <c r="G13" s="22">
        <v>5467</v>
      </c>
    </row>
    <row r="14" spans="1:7" ht="15" x14ac:dyDescent="0.25">
      <c r="A14" s="1" t="str">
        <f t="shared" si="0"/>
        <v>199811</v>
      </c>
      <c r="B14" s="1">
        <f t="shared" si="1"/>
        <v>1998</v>
      </c>
      <c r="C14" s="1">
        <f t="shared" si="2"/>
        <v>11</v>
      </c>
      <c r="D14" s="26">
        <v>36100</v>
      </c>
      <c r="E14" s="22">
        <v>24918</v>
      </c>
      <c r="F14" s="22">
        <v>11196</v>
      </c>
      <c r="G14" s="22">
        <v>5433</v>
      </c>
    </row>
    <row r="15" spans="1:7" ht="15" x14ac:dyDescent="0.25">
      <c r="A15" s="1" t="str">
        <f t="shared" si="0"/>
        <v>199812</v>
      </c>
      <c r="B15" s="1">
        <f t="shared" si="1"/>
        <v>1998</v>
      </c>
      <c r="C15" s="1">
        <f t="shared" si="2"/>
        <v>12</v>
      </c>
      <c r="D15" s="26">
        <v>36130</v>
      </c>
      <c r="E15" s="22">
        <v>24929</v>
      </c>
      <c r="F15" s="22">
        <v>11214</v>
      </c>
      <c r="G15" s="22">
        <v>5686</v>
      </c>
    </row>
    <row r="16" spans="1:7" ht="15" x14ac:dyDescent="0.25">
      <c r="A16" s="1" t="str">
        <f t="shared" si="0"/>
        <v>19991</v>
      </c>
      <c r="B16" s="1">
        <f t="shared" si="1"/>
        <v>1999</v>
      </c>
      <c r="C16" s="1">
        <f t="shared" si="2"/>
        <v>1</v>
      </c>
      <c r="D16" s="26">
        <v>36161</v>
      </c>
      <c r="E16" s="22">
        <v>32655.58</v>
      </c>
      <c r="F16" s="22">
        <v>14532.43</v>
      </c>
      <c r="G16" s="22">
        <v>5297.09</v>
      </c>
    </row>
    <row r="17" spans="1:7" ht="15" x14ac:dyDescent="0.25">
      <c r="A17" s="1" t="str">
        <f t="shared" si="0"/>
        <v>19992</v>
      </c>
      <c r="B17" s="1">
        <f t="shared" si="1"/>
        <v>1999</v>
      </c>
      <c r="C17" s="1">
        <f t="shared" si="2"/>
        <v>2</v>
      </c>
      <c r="D17" s="26">
        <v>36192</v>
      </c>
      <c r="E17" s="22">
        <v>33408.17</v>
      </c>
      <c r="F17" s="22">
        <v>14754.33</v>
      </c>
      <c r="G17" s="22">
        <v>6228.58</v>
      </c>
    </row>
    <row r="18" spans="1:7" ht="15" x14ac:dyDescent="0.25">
      <c r="A18" s="1" t="str">
        <f t="shared" si="0"/>
        <v>19993</v>
      </c>
      <c r="B18" s="1">
        <f t="shared" si="1"/>
        <v>1999</v>
      </c>
      <c r="C18" s="1">
        <f t="shared" si="2"/>
        <v>3</v>
      </c>
      <c r="D18" s="26">
        <v>36220</v>
      </c>
      <c r="E18" s="22">
        <v>34329.96</v>
      </c>
      <c r="F18" s="22">
        <v>15084.45</v>
      </c>
      <c r="G18" s="22">
        <v>5247.67</v>
      </c>
    </row>
    <row r="19" spans="1:7" ht="15" x14ac:dyDescent="0.25">
      <c r="A19" s="1" t="str">
        <f t="shared" si="0"/>
        <v>19994</v>
      </c>
      <c r="B19" s="1">
        <f t="shared" si="1"/>
        <v>1999</v>
      </c>
      <c r="C19" s="1">
        <f t="shared" si="2"/>
        <v>4</v>
      </c>
      <c r="D19" s="26">
        <v>36251</v>
      </c>
      <c r="E19" s="22">
        <v>31043.09</v>
      </c>
      <c r="F19" s="22">
        <v>13694.62</v>
      </c>
      <c r="G19" s="22">
        <v>5549.35</v>
      </c>
    </row>
    <row r="20" spans="1:7" ht="15" x14ac:dyDescent="0.25">
      <c r="A20" s="1" t="str">
        <f t="shared" si="0"/>
        <v>19995</v>
      </c>
      <c r="B20" s="1">
        <f t="shared" si="1"/>
        <v>1999</v>
      </c>
      <c r="C20" s="1">
        <f t="shared" si="2"/>
        <v>5</v>
      </c>
      <c r="D20" s="26">
        <v>36281</v>
      </c>
      <c r="E20" s="22">
        <v>33616.97</v>
      </c>
      <c r="F20" s="22">
        <v>14789.19</v>
      </c>
      <c r="G20" s="22">
        <v>5397.04</v>
      </c>
    </row>
    <row r="21" spans="1:7" ht="15" x14ac:dyDescent="0.25">
      <c r="A21" s="1" t="str">
        <f t="shared" si="0"/>
        <v>19996</v>
      </c>
      <c r="B21" s="1">
        <f t="shared" si="1"/>
        <v>1999</v>
      </c>
      <c r="C21" s="1">
        <f t="shared" si="2"/>
        <v>6</v>
      </c>
      <c r="D21" s="26">
        <v>36312</v>
      </c>
      <c r="E21" s="22">
        <v>22158.09</v>
      </c>
      <c r="F21" s="22">
        <v>9879.7000000000007</v>
      </c>
      <c r="G21" s="22">
        <v>5525.93</v>
      </c>
    </row>
    <row r="22" spans="1:7" ht="15" x14ac:dyDescent="0.25">
      <c r="A22" s="1" t="str">
        <f t="shared" si="0"/>
        <v>19997</v>
      </c>
      <c r="B22" s="1">
        <f t="shared" si="1"/>
        <v>1999</v>
      </c>
      <c r="C22" s="1">
        <f t="shared" si="2"/>
        <v>7</v>
      </c>
      <c r="D22" s="26">
        <v>36342</v>
      </c>
      <c r="E22" s="22">
        <v>22075.31</v>
      </c>
      <c r="F22" s="22">
        <v>9826.51</v>
      </c>
      <c r="G22" s="22">
        <v>5259.28</v>
      </c>
    </row>
    <row r="23" spans="1:7" ht="15" x14ac:dyDescent="0.25">
      <c r="A23" s="1" t="str">
        <f t="shared" si="0"/>
        <v>19998</v>
      </c>
      <c r="B23" s="1">
        <f t="shared" si="1"/>
        <v>1999</v>
      </c>
      <c r="C23" s="1">
        <f t="shared" si="2"/>
        <v>8</v>
      </c>
      <c r="D23" s="26">
        <v>36373</v>
      </c>
      <c r="E23" s="22">
        <v>27625.58</v>
      </c>
      <c r="F23" s="22">
        <v>12256.63</v>
      </c>
      <c r="G23" s="22">
        <v>5973.76</v>
      </c>
    </row>
    <row r="24" spans="1:7" ht="15" x14ac:dyDescent="0.25">
      <c r="A24" s="1" t="str">
        <f t="shared" si="0"/>
        <v>19999</v>
      </c>
      <c r="B24" s="1">
        <f t="shared" si="1"/>
        <v>1999</v>
      </c>
      <c r="C24" s="1">
        <f t="shared" si="2"/>
        <v>9</v>
      </c>
      <c r="D24" s="26">
        <v>36404</v>
      </c>
      <c r="E24" s="22">
        <v>25785.82</v>
      </c>
      <c r="F24" s="22">
        <v>11437.02</v>
      </c>
      <c r="G24" s="22">
        <v>5505.81</v>
      </c>
    </row>
    <row r="25" spans="1:7" ht="15" x14ac:dyDescent="0.25">
      <c r="A25" s="1" t="str">
        <f t="shared" si="0"/>
        <v>199910</v>
      </c>
      <c r="B25" s="1">
        <f t="shared" si="1"/>
        <v>1999</v>
      </c>
      <c r="C25" s="1">
        <f t="shared" si="2"/>
        <v>10</v>
      </c>
      <c r="D25" s="26">
        <v>36434</v>
      </c>
      <c r="E25" s="22">
        <v>30735.99</v>
      </c>
      <c r="F25" s="22">
        <v>13625.12</v>
      </c>
      <c r="G25" s="22">
        <v>6437.14</v>
      </c>
    </row>
    <row r="26" spans="1:7" ht="15" x14ac:dyDescent="0.25">
      <c r="A26" s="1" t="str">
        <f t="shared" si="0"/>
        <v>199911</v>
      </c>
      <c r="B26" s="1">
        <f t="shared" si="1"/>
        <v>1999</v>
      </c>
      <c r="C26" s="1">
        <f t="shared" si="2"/>
        <v>11</v>
      </c>
      <c r="D26" s="26">
        <v>36465</v>
      </c>
      <c r="E26" s="22">
        <v>29101.66</v>
      </c>
      <c r="F26" s="22">
        <v>12946.37</v>
      </c>
      <c r="G26" s="22">
        <v>6820.54</v>
      </c>
    </row>
    <row r="27" spans="1:7" ht="15" x14ac:dyDescent="0.25">
      <c r="A27" s="1" t="str">
        <f t="shared" si="0"/>
        <v>199912</v>
      </c>
      <c r="B27" s="1">
        <f t="shared" si="1"/>
        <v>1999</v>
      </c>
      <c r="C27" s="1">
        <f t="shared" si="2"/>
        <v>12</v>
      </c>
      <c r="D27" s="26">
        <v>36495</v>
      </c>
      <c r="E27" s="22">
        <v>32045.55</v>
      </c>
      <c r="F27" s="22">
        <v>14228.62</v>
      </c>
      <c r="G27" s="22">
        <v>7103.15</v>
      </c>
    </row>
    <row r="28" spans="1:7" ht="15" x14ac:dyDescent="0.25">
      <c r="A28" s="1" t="str">
        <f t="shared" si="0"/>
        <v>20001</v>
      </c>
      <c r="B28" s="1">
        <f t="shared" si="1"/>
        <v>2000</v>
      </c>
      <c r="C28" s="1">
        <f t="shared" si="2"/>
        <v>1</v>
      </c>
      <c r="D28" s="26">
        <v>36526</v>
      </c>
      <c r="E28" s="22">
        <v>34784.78</v>
      </c>
      <c r="F28" s="22">
        <v>16063.91</v>
      </c>
      <c r="G28" s="22">
        <v>5713.09</v>
      </c>
    </row>
    <row r="29" spans="1:7" ht="15" x14ac:dyDescent="0.25">
      <c r="A29" s="1" t="str">
        <f t="shared" si="0"/>
        <v>20002</v>
      </c>
      <c r="B29" s="1">
        <f t="shared" si="1"/>
        <v>2000</v>
      </c>
      <c r="C29" s="1">
        <f t="shared" si="2"/>
        <v>2</v>
      </c>
      <c r="D29" s="26">
        <v>36557</v>
      </c>
      <c r="E29" s="22">
        <v>31622.51</v>
      </c>
      <c r="F29" s="22">
        <v>15237.63</v>
      </c>
      <c r="G29" s="22">
        <v>6687.61</v>
      </c>
    </row>
    <row r="30" spans="1:7" ht="15" x14ac:dyDescent="0.25">
      <c r="A30" s="1" t="str">
        <f t="shared" si="0"/>
        <v>20003</v>
      </c>
      <c r="B30" s="1">
        <f t="shared" si="1"/>
        <v>2000</v>
      </c>
      <c r="C30" s="1">
        <f t="shared" si="2"/>
        <v>3</v>
      </c>
      <c r="D30" s="26">
        <v>36586</v>
      </c>
      <c r="E30" s="22">
        <v>34448.07</v>
      </c>
      <c r="F30" s="22">
        <v>16599.16</v>
      </c>
      <c r="G30" s="22">
        <v>5657.13</v>
      </c>
    </row>
    <row r="31" spans="1:7" ht="15" x14ac:dyDescent="0.25">
      <c r="A31" s="1" t="str">
        <f t="shared" si="0"/>
        <v>20004</v>
      </c>
      <c r="B31" s="1">
        <f t="shared" si="1"/>
        <v>2000</v>
      </c>
      <c r="C31" s="1">
        <f t="shared" si="2"/>
        <v>4</v>
      </c>
      <c r="D31" s="26">
        <v>36617</v>
      </c>
      <c r="E31" s="22">
        <v>35730</v>
      </c>
      <c r="F31" s="22">
        <v>17216.88</v>
      </c>
      <c r="G31" s="22">
        <v>6955.78</v>
      </c>
    </row>
    <row r="32" spans="1:7" ht="15" x14ac:dyDescent="0.25">
      <c r="A32" s="1" t="str">
        <f t="shared" si="0"/>
        <v>20005</v>
      </c>
      <c r="B32" s="1">
        <f t="shared" si="1"/>
        <v>2000</v>
      </c>
      <c r="C32" s="1">
        <f t="shared" si="2"/>
        <v>5</v>
      </c>
      <c r="D32" s="26">
        <v>36647</v>
      </c>
      <c r="E32" s="22">
        <v>34175</v>
      </c>
      <c r="F32" s="22">
        <v>16467.68</v>
      </c>
      <c r="G32" s="22">
        <v>6505.33</v>
      </c>
    </row>
    <row r="33" spans="1:7" ht="15" x14ac:dyDescent="0.25">
      <c r="A33" s="1" t="str">
        <f t="shared" si="0"/>
        <v>20006</v>
      </c>
      <c r="B33" s="1">
        <f t="shared" si="1"/>
        <v>2000</v>
      </c>
      <c r="C33" s="1">
        <f t="shared" si="2"/>
        <v>6</v>
      </c>
      <c r="D33" s="26">
        <v>36678</v>
      </c>
      <c r="E33" s="22">
        <v>27721</v>
      </c>
      <c r="F33" s="22">
        <v>13357</v>
      </c>
      <c r="G33" s="22">
        <v>6968</v>
      </c>
    </row>
    <row r="34" spans="1:7" ht="15" x14ac:dyDescent="0.25">
      <c r="A34" s="1" t="str">
        <f t="shared" si="0"/>
        <v>20007</v>
      </c>
      <c r="B34" s="1">
        <f t="shared" si="1"/>
        <v>2000</v>
      </c>
      <c r="C34" s="1">
        <f t="shared" si="2"/>
        <v>7</v>
      </c>
      <c r="D34" s="26">
        <v>36708</v>
      </c>
      <c r="E34" s="22">
        <v>26373</v>
      </c>
      <c r="F34" s="22">
        <v>12708</v>
      </c>
      <c r="G34" s="22">
        <v>6621</v>
      </c>
    </row>
    <row r="35" spans="1:7" ht="15" x14ac:dyDescent="0.25">
      <c r="A35" s="1" t="str">
        <f t="shared" si="0"/>
        <v>20008</v>
      </c>
      <c r="B35" s="1">
        <f t="shared" si="1"/>
        <v>2000</v>
      </c>
      <c r="C35" s="1">
        <f t="shared" si="2"/>
        <v>8</v>
      </c>
      <c r="D35" s="26">
        <v>36739</v>
      </c>
      <c r="E35" s="22">
        <v>29405</v>
      </c>
      <c r="F35" s="22">
        <v>14169</v>
      </c>
      <c r="G35" s="22">
        <v>7240</v>
      </c>
    </row>
    <row r="36" spans="1:7" ht="15" x14ac:dyDescent="0.25">
      <c r="A36" s="1" t="str">
        <f t="shared" si="0"/>
        <v>20009</v>
      </c>
      <c r="B36" s="1">
        <f t="shared" si="1"/>
        <v>2000</v>
      </c>
      <c r="C36" s="1">
        <f t="shared" si="2"/>
        <v>9</v>
      </c>
      <c r="D36" s="26">
        <v>36770</v>
      </c>
      <c r="E36" s="22">
        <v>29650</v>
      </c>
      <c r="F36" s="22">
        <v>14287</v>
      </c>
      <c r="G36" s="22">
        <v>7240</v>
      </c>
    </row>
    <row r="37" spans="1:7" ht="15" x14ac:dyDescent="0.25">
      <c r="A37" s="1" t="str">
        <f t="shared" si="0"/>
        <v>200010</v>
      </c>
      <c r="B37" s="1">
        <f t="shared" si="1"/>
        <v>2000</v>
      </c>
      <c r="C37" s="1">
        <f t="shared" si="2"/>
        <v>10</v>
      </c>
      <c r="D37" s="26">
        <v>36800</v>
      </c>
      <c r="E37" s="22">
        <v>31349</v>
      </c>
      <c r="F37" s="22">
        <v>15106</v>
      </c>
      <c r="G37" s="22">
        <v>7802</v>
      </c>
    </row>
    <row r="38" spans="1:7" ht="15" x14ac:dyDescent="0.25">
      <c r="A38" s="1" t="str">
        <f t="shared" si="0"/>
        <v>200011</v>
      </c>
      <c r="B38" s="1">
        <f t="shared" si="1"/>
        <v>2000</v>
      </c>
      <c r="C38" s="1">
        <f t="shared" si="2"/>
        <v>11</v>
      </c>
      <c r="D38" s="26">
        <v>36831</v>
      </c>
      <c r="E38" s="22">
        <v>34026</v>
      </c>
      <c r="F38" s="22">
        <v>16396</v>
      </c>
      <c r="G38" s="22">
        <v>8080</v>
      </c>
    </row>
    <row r="39" spans="1:7" ht="15" x14ac:dyDescent="0.25">
      <c r="A39" s="1" t="str">
        <f t="shared" si="0"/>
        <v>200012</v>
      </c>
      <c r="B39" s="1">
        <f t="shared" si="1"/>
        <v>2000</v>
      </c>
      <c r="C39" s="1">
        <f t="shared" si="2"/>
        <v>12</v>
      </c>
      <c r="D39" s="26">
        <v>36861</v>
      </c>
      <c r="E39" s="22">
        <v>38399.870000000003</v>
      </c>
      <c r="F39" s="22">
        <v>18503.37</v>
      </c>
      <c r="G39" s="22">
        <v>8159.22</v>
      </c>
    </row>
    <row r="40" spans="1:7" ht="15" x14ac:dyDescent="0.25">
      <c r="A40" s="1" t="str">
        <f t="shared" si="0"/>
        <v>20011</v>
      </c>
      <c r="B40" s="1">
        <f t="shared" si="1"/>
        <v>2001</v>
      </c>
      <c r="C40" s="1">
        <f t="shared" si="2"/>
        <v>1</v>
      </c>
      <c r="D40" s="26">
        <v>36892</v>
      </c>
      <c r="E40" s="22">
        <v>44755</v>
      </c>
      <c r="F40" s="22">
        <v>21488</v>
      </c>
      <c r="G40" s="22">
        <v>6738</v>
      </c>
    </row>
    <row r="41" spans="1:7" ht="15" x14ac:dyDescent="0.25">
      <c r="A41" s="1" t="str">
        <f t="shared" si="0"/>
        <v>20012</v>
      </c>
      <c r="B41" s="1">
        <f t="shared" si="1"/>
        <v>2001</v>
      </c>
      <c r="C41" s="1">
        <f t="shared" si="2"/>
        <v>2</v>
      </c>
      <c r="D41" s="26">
        <v>36923</v>
      </c>
      <c r="E41" s="22">
        <v>36466</v>
      </c>
      <c r="F41" s="22">
        <v>17508</v>
      </c>
      <c r="G41" s="22">
        <v>6533</v>
      </c>
    </row>
    <row r="42" spans="1:7" ht="15" x14ac:dyDescent="0.25">
      <c r="A42" s="1" t="str">
        <f t="shared" si="0"/>
        <v>20013</v>
      </c>
      <c r="B42" s="1">
        <f t="shared" si="1"/>
        <v>2001</v>
      </c>
      <c r="C42" s="1">
        <f t="shared" si="2"/>
        <v>3</v>
      </c>
      <c r="D42" s="26">
        <v>36951</v>
      </c>
      <c r="E42" s="22">
        <v>31965</v>
      </c>
      <c r="F42" s="22">
        <v>15353</v>
      </c>
      <c r="G42" s="22">
        <v>6214</v>
      </c>
    </row>
    <row r="43" spans="1:7" ht="15" x14ac:dyDescent="0.25">
      <c r="A43" s="1" t="str">
        <f t="shared" si="0"/>
        <v>20014</v>
      </c>
      <c r="B43" s="1">
        <f t="shared" si="1"/>
        <v>2001</v>
      </c>
      <c r="C43" s="1">
        <f t="shared" si="2"/>
        <v>4</v>
      </c>
      <c r="D43" s="26">
        <v>36982</v>
      </c>
      <c r="E43" s="22">
        <v>37534</v>
      </c>
      <c r="F43" s="22">
        <v>18058</v>
      </c>
      <c r="G43" s="22">
        <v>7078</v>
      </c>
    </row>
    <row r="44" spans="1:7" ht="15" x14ac:dyDescent="0.25">
      <c r="A44" s="1" t="str">
        <f t="shared" si="0"/>
        <v>20015</v>
      </c>
      <c r="B44" s="1">
        <f t="shared" si="1"/>
        <v>2001</v>
      </c>
      <c r="C44" s="1">
        <f t="shared" si="2"/>
        <v>5</v>
      </c>
      <c r="D44" s="26">
        <v>37012</v>
      </c>
      <c r="E44" s="22">
        <v>42202</v>
      </c>
      <c r="F44" s="22">
        <v>20303</v>
      </c>
      <c r="G44" s="22">
        <v>7107</v>
      </c>
    </row>
    <row r="45" spans="1:7" ht="15" x14ac:dyDescent="0.25">
      <c r="A45" s="1" t="str">
        <f t="shared" si="0"/>
        <v>20016</v>
      </c>
      <c r="B45" s="1">
        <f t="shared" si="1"/>
        <v>2001</v>
      </c>
      <c r="C45" s="1">
        <f t="shared" si="2"/>
        <v>6</v>
      </c>
      <c r="D45" s="26">
        <v>37043</v>
      </c>
      <c r="E45" s="22">
        <v>36616</v>
      </c>
      <c r="F45" s="22">
        <v>17616</v>
      </c>
      <c r="G45" s="22">
        <v>8357</v>
      </c>
    </row>
    <row r="46" spans="1:7" ht="15" x14ac:dyDescent="0.25">
      <c r="A46" s="1" t="str">
        <f t="shared" si="0"/>
        <v>20017</v>
      </c>
      <c r="B46" s="1">
        <f t="shared" si="1"/>
        <v>2001</v>
      </c>
      <c r="C46" s="1">
        <f t="shared" si="2"/>
        <v>7</v>
      </c>
      <c r="D46" s="26">
        <v>37073</v>
      </c>
      <c r="E46" s="22">
        <v>33336</v>
      </c>
      <c r="F46" s="22">
        <v>16025</v>
      </c>
      <c r="G46" s="22">
        <v>6760</v>
      </c>
    </row>
    <row r="47" spans="1:7" ht="15" x14ac:dyDescent="0.25">
      <c r="A47" s="1" t="str">
        <f t="shared" si="0"/>
        <v>20018</v>
      </c>
      <c r="B47" s="1">
        <f t="shared" si="1"/>
        <v>2001</v>
      </c>
      <c r="C47" s="1">
        <f t="shared" si="2"/>
        <v>8</v>
      </c>
      <c r="D47" s="26">
        <v>37104</v>
      </c>
      <c r="E47" s="22">
        <v>35052</v>
      </c>
      <c r="F47" s="22">
        <v>16871</v>
      </c>
      <c r="G47" s="22">
        <v>6889</v>
      </c>
    </row>
    <row r="48" spans="1:7" ht="15" x14ac:dyDescent="0.25">
      <c r="A48" s="1" t="str">
        <f t="shared" si="0"/>
        <v>20019</v>
      </c>
      <c r="B48" s="1">
        <f t="shared" si="1"/>
        <v>2001</v>
      </c>
      <c r="C48" s="1">
        <f t="shared" si="2"/>
        <v>9</v>
      </c>
      <c r="D48" s="26">
        <v>37135</v>
      </c>
      <c r="E48" s="22">
        <v>37872</v>
      </c>
      <c r="F48" s="22">
        <v>18248</v>
      </c>
      <c r="G48" s="22">
        <v>6642</v>
      </c>
    </row>
    <row r="49" spans="1:7" ht="15" x14ac:dyDescent="0.25">
      <c r="A49" s="1" t="str">
        <f t="shared" si="0"/>
        <v>200110</v>
      </c>
      <c r="B49" s="1">
        <f t="shared" si="1"/>
        <v>2001</v>
      </c>
      <c r="C49" s="1">
        <f t="shared" si="2"/>
        <v>10</v>
      </c>
      <c r="D49" s="26">
        <v>37165</v>
      </c>
      <c r="E49" s="22">
        <v>36194</v>
      </c>
      <c r="F49" s="22">
        <v>17440</v>
      </c>
      <c r="G49" s="22">
        <v>6743</v>
      </c>
    </row>
    <row r="50" spans="1:7" ht="15" x14ac:dyDescent="0.25">
      <c r="A50" s="1" t="str">
        <f t="shared" si="0"/>
        <v>200111</v>
      </c>
      <c r="B50" s="1">
        <f t="shared" si="1"/>
        <v>2001</v>
      </c>
      <c r="C50" s="1">
        <f t="shared" si="2"/>
        <v>11</v>
      </c>
      <c r="D50" s="26">
        <v>37196</v>
      </c>
      <c r="E50" s="22">
        <v>37618</v>
      </c>
      <c r="F50" s="22">
        <v>18126</v>
      </c>
      <c r="G50" s="22">
        <v>6652</v>
      </c>
    </row>
    <row r="51" spans="1:7" ht="15" x14ac:dyDescent="0.25">
      <c r="A51" s="1" t="str">
        <f t="shared" si="0"/>
        <v>200112</v>
      </c>
      <c r="B51" s="1">
        <f t="shared" si="1"/>
        <v>2001</v>
      </c>
      <c r="C51" s="1">
        <f t="shared" si="2"/>
        <v>12</v>
      </c>
      <c r="D51" s="26">
        <v>37226</v>
      </c>
      <c r="E51" s="22">
        <v>45623</v>
      </c>
      <c r="F51" s="22">
        <v>21983</v>
      </c>
      <c r="G51" s="22">
        <v>6849</v>
      </c>
    </row>
    <row r="52" spans="1:7" ht="15" x14ac:dyDescent="0.25">
      <c r="A52" s="1" t="str">
        <f t="shared" si="0"/>
        <v>20021</v>
      </c>
      <c r="B52" s="1">
        <f t="shared" si="1"/>
        <v>2002</v>
      </c>
      <c r="C52" s="1">
        <f t="shared" si="2"/>
        <v>1</v>
      </c>
      <c r="D52" s="26">
        <v>37257</v>
      </c>
      <c r="E52" s="22">
        <v>48507</v>
      </c>
      <c r="F52" s="22">
        <v>23796</v>
      </c>
      <c r="G52" s="22">
        <v>8676</v>
      </c>
    </row>
    <row r="53" spans="1:7" ht="15" x14ac:dyDescent="0.25">
      <c r="A53" s="1" t="str">
        <f t="shared" si="0"/>
        <v>20022</v>
      </c>
      <c r="B53" s="1">
        <f t="shared" si="1"/>
        <v>2002</v>
      </c>
      <c r="C53" s="1">
        <f t="shared" si="2"/>
        <v>2</v>
      </c>
      <c r="D53" s="26">
        <v>37288</v>
      </c>
      <c r="E53" s="22">
        <v>56573</v>
      </c>
      <c r="F53" s="22">
        <v>27802</v>
      </c>
      <c r="G53" s="22">
        <v>8209</v>
      </c>
    </row>
    <row r="54" spans="1:7" ht="15" x14ac:dyDescent="0.25">
      <c r="A54" s="1" t="str">
        <f t="shared" si="0"/>
        <v>20023</v>
      </c>
      <c r="B54" s="1">
        <f t="shared" si="1"/>
        <v>2002</v>
      </c>
      <c r="C54" s="1">
        <f t="shared" si="2"/>
        <v>3</v>
      </c>
      <c r="D54" s="26">
        <v>37316</v>
      </c>
      <c r="E54" s="22">
        <v>43294</v>
      </c>
      <c r="F54" s="22">
        <v>21276</v>
      </c>
      <c r="G54" s="22">
        <v>7240</v>
      </c>
    </row>
    <row r="55" spans="1:7" ht="15" x14ac:dyDescent="0.25">
      <c r="A55" s="1" t="str">
        <f t="shared" si="0"/>
        <v>20024</v>
      </c>
      <c r="B55" s="1">
        <f t="shared" si="1"/>
        <v>2002</v>
      </c>
      <c r="C55" s="1">
        <f t="shared" si="2"/>
        <v>4</v>
      </c>
      <c r="D55" s="26">
        <v>37347</v>
      </c>
      <c r="E55" s="22">
        <v>45218</v>
      </c>
      <c r="F55" s="22">
        <v>22222</v>
      </c>
      <c r="G55" s="22">
        <v>9051</v>
      </c>
    </row>
    <row r="56" spans="1:7" ht="15" x14ac:dyDescent="0.25">
      <c r="A56" s="1" t="str">
        <f t="shared" si="0"/>
        <v>20025</v>
      </c>
      <c r="B56" s="1">
        <f t="shared" si="1"/>
        <v>2002</v>
      </c>
      <c r="C56" s="1">
        <f t="shared" si="2"/>
        <v>5</v>
      </c>
      <c r="D56" s="26">
        <v>37377</v>
      </c>
      <c r="E56" s="22">
        <v>51824</v>
      </c>
      <c r="F56" s="22">
        <v>25469</v>
      </c>
      <c r="G56" s="22">
        <v>8508</v>
      </c>
    </row>
    <row r="57" spans="1:7" ht="15" x14ac:dyDescent="0.25">
      <c r="A57" s="1" t="str">
        <f t="shared" si="0"/>
        <v>20026</v>
      </c>
      <c r="B57" s="1">
        <f t="shared" si="1"/>
        <v>2002</v>
      </c>
      <c r="C57" s="1">
        <f t="shared" si="2"/>
        <v>6</v>
      </c>
      <c r="D57" s="26">
        <v>37408</v>
      </c>
      <c r="E57" s="22">
        <v>36486</v>
      </c>
      <c r="F57" s="22">
        <v>17930</v>
      </c>
      <c r="G57" s="22">
        <v>7934</v>
      </c>
    </row>
    <row r="58" spans="1:7" ht="15" x14ac:dyDescent="0.25">
      <c r="A58" s="1" t="str">
        <f t="shared" si="0"/>
        <v>20027</v>
      </c>
      <c r="B58" s="1">
        <f t="shared" si="1"/>
        <v>2002</v>
      </c>
      <c r="C58" s="1">
        <f t="shared" si="2"/>
        <v>7</v>
      </c>
      <c r="D58" s="26">
        <v>37438</v>
      </c>
      <c r="E58" s="22">
        <v>39894</v>
      </c>
      <c r="F58" s="22">
        <v>19606</v>
      </c>
      <c r="G58" s="22">
        <v>8171</v>
      </c>
    </row>
    <row r="59" spans="1:7" ht="15" x14ac:dyDescent="0.25">
      <c r="A59" s="1" t="str">
        <f t="shared" si="0"/>
        <v>20028</v>
      </c>
      <c r="B59" s="1">
        <f t="shared" si="1"/>
        <v>2002</v>
      </c>
      <c r="C59" s="1">
        <f t="shared" si="2"/>
        <v>8</v>
      </c>
      <c r="D59" s="26">
        <v>37469</v>
      </c>
      <c r="E59" s="22">
        <v>37775</v>
      </c>
      <c r="F59" s="22">
        <v>18564</v>
      </c>
      <c r="G59" s="22">
        <v>8384</v>
      </c>
    </row>
    <row r="60" spans="1:7" ht="15" x14ac:dyDescent="0.25">
      <c r="A60" s="1" t="str">
        <f t="shared" si="0"/>
        <v>20029</v>
      </c>
      <c r="B60" s="1">
        <f t="shared" si="1"/>
        <v>2002</v>
      </c>
      <c r="C60" s="1">
        <f t="shared" si="2"/>
        <v>9</v>
      </c>
      <c r="D60" s="26">
        <v>37500</v>
      </c>
      <c r="E60" s="22">
        <v>41703</v>
      </c>
      <c r="F60" s="22">
        <v>20495</v>
      </c>
      <c r="G60" s="22">
        <v>8408</v>
      </c>
    </row>
    <row r="61" spans="1:7" ht="15" x14ac:dyDescent="0.25">
      <c r="A61" s="1" t="str">
        <f t="shared" si="0"/>
        <v>200210</v>
      </c>
      <c r="B61" s="1">
        <f t="shared" si="1"/>
        <v>2002</v>
      </c>
      <c r="C61" s="1">
        <f t="shared" si="2"/>
        <v>10</v>
      </c>
      <c r="D61" s="26">
        <v>37530</v>
      </c>
      <c r="E61" s="22">
        <v>54954</v>
      </c>
      <c r="F61" s="22">
        <v>27006</v>
      </c>
      <c r="G61" s="22">
        <v>8817</v>
      </c>
    </row>
    <row r="62" spans="1:7" ht="15" x14ac:dyDescent="0.25">
      <c r="A62" s="1" t="str">
        <f t="shared" si="0"/>
        <v>200211</v>
      </c>
      <c r="B62" s="1">
        <f t="shared" si="1"/>
        <v>2002</v>
      </c>
      <c r="C62" s="1">
        <f t="shared" si="2"/>
        <v>11</v>
      </c>
      <c r="D62" s="26">
        <v>37561</v>
      </c>
      <c r="E62" s="22">
        <v>48201</v>
      </c>
      <c r="F62" s="22">
        <v>23688</v>
      </c>
      <c r="G62" s="22">
        <v>8904</v>
      </c>
    </row>
    <row r="63" spans="1:7" ht="15" x14ac:dyDescent="0.25">
      <c r="A63" s="1" t="str">
        <f t="shared" si="0"/>
        <v>200212</v>
      </c>
      <c r="B63" s="1">
        <f t="shared" si="1"/>
        <v>2002</v>
      </c>
      <c r="C63" s="1">
        <f t="shared" si="2"/>
        <v>12</v>
      </c>
      <c r="D63" s="26">
        <v>37591</v>
      </c>
      <c r="E63" s="22">
        <v>47210</v>
      </c>
      <c r="F63" s="22">
        <v>23201</v>
      </c>
      <c r="G63" s="22">
        <v>9097</v>
      </c>
    </row>
    <row r="64" spans="1:7" ht="15" x14ac:dyDescent="0.25">
      <c r="A64" s="1" t="str">
        <f t="shared" si="0"/>
        <v>20031</v>
      </c>
      <c r="B64" s="1">
        <f t="shared" si="1"/>
        <v>2003</v>
      </c>
      <c r="C64" s="1">
        <f t="shared" si="2"/>
        <v>1</v>
      </c>
      <c r="D64" s="26">
        <v>37622</v>
      </c>
      <c r="E64" s="22">
        <v>51179</v>
      </c>
      <c r="F64" s="22">
        <v>25275</v>
      </c>
      <c r="G64" s="22">
        <v>10586</v>
      </c>
    </row>
    <row r="65" spans="1:7" ht="15" x14ac:dyDescent="0.25">
      <c r="A65" s="1" t="str">
        <f t="shared" si="0"/>
        <v>20032</v>
      </c>
      <c r="B65" s="1">
        <f t="shared" si="1"/>
        <v>2003</v>
      </c>
      <c r="C65" s="1">
        <f t="shared" si="2"/>
        <v>2</v>
      </c>
      <c r="D65" s="26">
        <v>37653</v>
      </c>
      <c r="E65" s="22">
        <v>53879</v>
      </c>
      <c r="F65" s="22">
        <v>26614</v>
      </c>
      <c r="G65" s="22">
        <v>10517</v>
      </c>
    </row>
    <row r="66" spans="1:7" ht="15" x14ac:dyDescent="0.25">
      <c r="A66" s="1" t="str">
        <f t="shared" si="0"/>
        <v>20033</v>
      </c>
      <c r="B66" s="1">
        <f t="shared" si="1"/>
        <v>2003</v>
      </c>
      <c r="C66" s="1">
        <f t="shared" si="2"/>
        <v>3</v>
      </c>
      <c r="D66" s="26">
        <v>37681</v>
      </c>
      <c r="E66" s="22">
        <v>46691</v>
      </c>
      <c r="F66" s="22">
        <v>23084</v>
      </c>
      <c r="G66" s="22">
        <v>9740</v>
      </c>
    </row>
    <row r="67" spans="1:7" ht="15" x14ac:dyDescent="0.25">
      <c r="A67" s="1" t="str">
        <f t="shared" si="0"/>
        <v>20034</v>
      </c>
      <c r="B67" s="1">
        <f t="shared" si="1"/>
        <v>2003</v>
      </c>
      <c r="C67" s="1">
        <f t="shared" si="2"/>
        <v>4</v>
      </c>
      <c r="D67" s="26">
        <v>37712</v>
      </c>
      <c r="E67" s="22">
        <v>44455</v>
      </c>
      <c r="F67" s="22">
        <v>21979</v>
      </c>
      <c r="G67" s="22">
        <v>10859</v>
      </c>
    </row>
    <row r="68" spans="1:7" ht="15" x14ac:dyDescent="0.25">
      <c r="A68" s="1" t="str">
        <f t="shared" si="0"/>
        <v>20035</v>
      </c>
      <c r="B68" s="1">
        <f t="shared" si="1"/>
        <v>2003</v>
      </c>
      <c r="C68" s="1">
        <f t="shared" si="2"/>
        <v>5</v>
      </c>
      <c r="D68" s="26">
        <v>37742</v>
      </c>
      <c r="E68" s="22">
        <v>62354</v>
      </c>
      <c r="F68" s="22">
        <v>30828</v>
      </c>
      <c r="G68" s="22">
        <v>8402</v>
      </c>
    </row>
    <row r="69" spans="1:7" ht="15" x14ac:dyDescent="0.25">
      <c r="A69" s="1" t="str">
        <f t="shared" ref="A69:A132" si="3">CONCATENATE(B69,C69)</f>
        <v>20036</v>
      </c>
      <c r="B69" s="1">
        <f t="shared" ref="B69:B132" si="4">YEAR(D69)</f>
        <v>2003</v>
      </c>
      <c r="C69" s="1">
        <f t="shared" ref="C69:C132" si="5">MONTH(D69)</f>
        <v>6</v>
      </c>
      <c r="D69" s="26">
        <v>37773</v>
      </c>
      <c r="E69" s="22">
        <v>43789</v>
      </c>
      <c r="F69" s="22">
        <v>21649</v>
      </c>
      <c r="G69" s="22">
        <v>9391</v>
      </c>
    </row>
    <row r="70" spans="1:7" ht="15" x14ac:dyDescent="0.25">
      <c r="A70" s="1" t="str">
        <f t="shared" si="3"/>
        <v>20037</v>
      </c>
      <c r="B70" s="1">
        <f t="shared" si="4"/>
        <v>2003</v>
      </c>
      <c r="C70" s="1">
        <f t="shared" si="5"/>
        <v>7</v>
      </c>
      <c r="D70" s="26">
        <v>37803</v>
      </c>
      <c r="E70" s="22">
        <v>36715</v>
      </c>
      <c r="F70" s="22">
        <v>18152</v>
      </c>
      <c r="G70" s="22">
        <v>8875</v>
      </c>
    </row>
    <row r="71" spans="1:7" ht="15" x14ac:dyDescent="0.25">
      <c r="A71" s="1" t="str">
        <f t="shared" si="3"/>
        <v>20038</v>
      </c>
      <c r="B71" s="1">
        <f t="shared" si="4"/>
        <v>2003</v>
      </c>
      <c r="C71" s="1">
        <f t="shared" si="5"/>
        <v>8</v>
      </c>
      <c r="D71" s="26">
        <v>37834</v>
      </c>
      <c r="E71" s="22">
        <v>48166</v>
      </c>
      <c r="F71" s="22">
        <v>23813</v>
      </c>
      <c r="G71" s="22">
        <v>9465</v>
      </c>
    </row>
    <row r="72" spans="1:7" ht="15" x14ac:dyDescent="0.25">
      <c r="A72" s="1" t="str">
        <f t="shared" si="3"/>
        <v>20039</v>
      </c>
      <c r="B72" s="1">
        <f t="shared" si="4"/>
        <v>2003</v>
      </c>
      <c r="C72" s="1">
        <f t="shared" si="5"/>
        <v>9</v>
      </c>
      <c r="D72" s="26">
        <v>37865</v>
      </c>
      <c r="E72" s="22">
        <v>41793</v>
      </c>
      <c r="F72" s="22">
        <v>20663</v>
      </c>
      <c r="G72" s="22">
        <v>8553</v>
      </c>
    </row>
    <row r="73" spans="1:7" ht="15" x14ac:dyDescent="0.25">
      <c r="A73" s="1" t="str">
        <f t="shared" si="3"/>
        <v>200310</v>
      </c>
      <c r="B73" s="1">
        <f t="shared" si="4"/>
        <v>2003</v>
      </c>
      <c r="C73" s="1">
        <f t="shared" si="5"/>
        <v>10</v>
      </c>
      <c r="D73" s="26">
        <v>37895</v>
      </c>
      <c r="E73" s="22">
        <v>43193</v>
      </c>
      <c r="F73" s="22">
        <v>21348</v>
      </c>
      <c r="G73" s="22">
        <v>10330</v>
      </c>
    </row>
    <row r="74" spans="1:7" ht="15" x14ac:dyDescent="0.25">
      <c r="A74" s="1" t="str">
        <f t="shared" si="3"/>
        <v>200311</v>
      </c>
      <c r="B74" s="1">
        <f t="shared" si="4"/>
        <v>2003</v>
      </c>
      <c r="C74" s="1">
        <f t="shared" si="5"/>
        <v>11</v>
      </c>
      <c r="D74" s="26">
        <v>37926</v>
      </c>
      <c r="E74" s="22">
        <v>48100</v>
      </c>
      <c r="F74" s="22">
        <v>23781</v>
      </c>
      <c r="G74" s="22">
        <v>10641</v>
      </c>
    </row>
    <row r="75" spans="1:7" ht="15" x14ac:dyDescent="0.25">
      <c r="A75" s="1" t="str">
        <f t="shared" si="3"/>
        <v>200312</v>
      </c>
      <c r="B75" s="1">
        <f t="shared" si="4"/>
        <v>2003</v>
      </c>
      <c r="C75" s="1">
        <f t="shared" si="5"/>
        <v>12</v>
      </c>
      <c r="D75" s="26">
        <v>37956</v>
      </c>
      <c r="E75" s="22">
        <v>50153</v>
      </c>
      <c r="F75" s="22">
        <v>24794</v>
      </c>
      <c r="G75" s="22">
        <v>11434</v>
      </c>
    </row>
    <row r="76" spans="1:7" ht="15" x14ac:dyDescent="0.25">
      <c r="A76" s="1" t="str">
        <f t="shared" si="3"/>
        <v>20041</v>
      </c>
      <c r="B76" s="1">
        <f t="shared" si="4"/>
        <v>2004</v>
      </c>
      <c r="C76" s="1">
        <f t="shared" si="5"/>
        <v>1</v>
      </c>
      <c r="D76" s="26">
        <v>37987</v>
      </c>
      <c r="E76" s="22">
        <v>55160</v>
      </c>
      <c r="F76" s="22">
        <v>27214</v>
      </c>
      <c r="G76" s="22">
        <v>12699</v>
      </c>
    </row>
    <row r="77" spans="1:7" ht="15" x14ac:dyDescent="0.25">
      <c r="A77" s="1" t="str">
        <f t="shared" si="3"/>
        <v>20042</v>
      </c>
      <c r="B77" s="1">
        <f t="shared" si="4"/>
        <v>2004</v>
      </c>
      <c r="C77" s="1">
        <f t="shared" si="5"/>
        <v>2</v>
      </c>
      <c r="D77" s="26">
        <v>38018</v>
      </c>
      <c r="E77" s="22">
        <v>60240</v>
      </c>
      <c r="F77" s="22">
        <v>29720</v>
      </c>
      <c r="G77" s="22">
        <v>13972</v>
      </c>
    </row>
    <row r="78" spans="1:7" ht="15" x14ac:dyDescent="0.25">
      <c r="A78" s="1" t="str">
        <f t="shared" si="3"/>
        <v>20043</v>
      </c>
      <c r="B78" s="1">
        <f t="shared" si="4"/>
        <v>2004</v>
      </c>
      <c r="C78" s="1">
        <f t="shared" si="5"/>
        <v>3</v>
      </c>
      <c r="D78" s="26">
        <v>38047</v>
      </c>
      <c r="E78" s="22">
        <v>48752</v>
      </c>
      <c r="F78" s="22">
        <v>24053</v>
      </c>
      <c r="G78" s="22">
        <v>12993</v>
      </c>
    </row>
    <row r="79" spans="1:7" ht="15" x14ac:dyDescent="0.25">
      <c r="A79" s="1" t="str">
        <f t="shared" si="3"/>
        <v>20044</v>
      </c>
      <c r="B79" s="1">
        <f t="shared" si="4"/>
        <v>2004</v>
      </c>
      <c r="C79" s="1">
        <f t="shared" si="5"/>
        <v>4</v>
      </c>
      <c r="D79" s="26">
        <v>38078</v>
      </c>
      <c r="E79" s="22">
        <v>53702</v>
      </c>
      <c r="F79" s="22">
        <v>26495</v>
      </c>
      <c r="G79" s="22">
        <v>15990</v>
      </c>
    </row>
    <row r="80" spans="1:7" ht="15" x14ac:dyDescent="0.25">
      <c r="A80" s="1" t="str">
        <f t="shared" si="3"/>
        <v>20045</v>
      </c>
      <c r="B80" s="1">
        <f t="shared" si="4"/>
        <v>2004</v>
      </c>
      <c r="C80" s="1">
        <f t="shared" si="5"/>
        <v>5</v>
      </c>
      <c r="D80" s="26">
        <v>38108</v>
      </c>
      <c r="E80" s="22">
        <v>62544</v>
      </c>
      <c r="F80" s="22">
        <v>30857</v>
      </c>
      <c r="G80" s="22">
        <v>15655</v>
      </c>
    </row>
    <row r="81" spans="1:7" ht="15" x14ac:dyDescent="0.25">
      <c r="A81" s="1" t="str">
        <f t="shared" si="3"/>
        <v>20046</v>
      </c>
      <c r="B81" s="1">
        <f t="shared" si="4"/>
        <v>2004</v>
      </c>
      <c r="C81" s="1">
        <f t="shared" si="5"/>
        <v>6</v>
      </c>
      <c r="D81" s="26">
        <v>38139</v>
      </c>
      <c r="E81" s="22">
        <v>40601</v>
      </c>
      <c r="F81" s="22">
        <v>20031</v>
      </c>
      <c r="G81" s="22">
        <v>15315</v>
      </c>
    </row>
    <row r="82" spans="1:7" ht="15" x14ac:dyDescent="0.25">
      <c r="A82" s="1" t="str">
        <f t="shared" si="3"/>
        <v>20047</v>
      </c>
      <c r="B82" s="1">
        <f t="shared" si="4"/>
        <v>2004</v>
      </c>
      <c r="C82" s="1">
        <f t="shared" si="5"/>
        <v>7</v>
      </c>
      <c r="D82" s="26">
        <v>38169</v>
      </c>
      <c r="E82" s="22">
        <v>42222</v>
      </c>
      <c r="F82" s="22">
        <v>20831</v>
      </c>
      <c r="G82" s="22">
        <v>16421</v>
      </c>
    </row>
    <row r="83" spans="1:7" ht="15" x14ac:dyDescent="0.25">
      <c r="A83" s="1" t="str">
        <f t="shared" si="3"/>
        <v>20048</v>
      </c>
      <c r="B83" s="1">
        <f t="shared" si="4"/>
        <v>2004</v>
      </c>
      <c r="C83" s="1">
        <f t="shared" si="5"/>
        <v>8</v>
      </c>
      <c r="D83" s="26">
        <v>38200</v>
      </c>
      <c r="E83" s="22">
        <v>54930</v>
      </c>
      <c r="F83" s="22">
        <v>27100</v>
      </c>
      <c r="G83" s="22">
        <v>17216</v>
      </c>
    </row>
    <row r="84" spans="1:7" ht="15" x14ac:dyDescent="0.25">
      <c r="A84" s="1" t="str">
        <f t="shared" si="3"/>
        <v>20049</v>
      </c>
      <c r="B84" s="1">
        <f t="shared" si="4"/>
        <v>2004</v>
      </c>
      <c r="C84" s="1">
        <f t="shared" si="5"/>
        <v>9</v>
      </c>
      <c r="D84" s="26">
        <v>38231</v>
      </c>
      <c r="E84" s="22">
        <v>47567</v>
      </c>
      <c r="F84" s="22">
        <v>23468</v>
      </c>
      <c r="G84" s="22">
        <v>16505</v>
      </c>
    </row>
    <row r="85" spans="1:7" ht="15" x14ac:dyDescent="0.25">
      <c r="A85" s="1" t="str">
        <f t="shared" si="3"/>
        <v>200410</v>
      </c>
      <c r="B85" s="1">
        <f t="shared" si="4"/>
        <v>2004</v>
      </c>
      <c r="C85" s="1">
        <f t="shared" si="5"/>
        <v>10</v>
      </c>
      <c r="D85" s="26">
        <v>38261</v>
      </c>
      <c r="E85" s="22">
        <v>50904</v>
      </c>
      <c r="F85" s="22">
        <v>25114</v>
      </c>
      <c r="G85" s="22">
        <v>17310</v>
      </c>
    </row>
    <row r="86" spans="1:7" ht="15" x14ac:dyDescent="0.25">
      <c r="A86" s="1" t="str">
        <f t="shared" si="3"/>
        <v>200411</v>
      </c>
      <c r="B86" s="1">
        <f t="shared" si="4"/>
        <v>2004</v>
      </c>
      <c r="C86" s="1">
        <f t="shared" si="5"/>
        <v>11</v>
      </c>
      <c r="D86" s="26">
        <v>38292</v>
      </c>
      <c r="E86" s="22">
        <v>50746</v>
      </c>
      <c r="F86" s="22">
        <v>25036</v>
      </c>
      <c r="G86" s="22">
        <v>17118</v>
      </c>
    </row>
    <row r="87" spans="1:7" ht="15" x14ac:dyDescent="0.25">
      <c r="A87" s="1" t="str">
        <f t="shared" si="3"/>
        <v>200412</v>
      </c>
      <c r="B87" s="1">
        <f t="shared" si="4"/>
        <v>2004</v>
      </c>
      <c r="C87" s="1">
        <f t="shared" si="5"/>
        <v>12</v>
      </c>
      <c r="D87" s="26">
        <v>38322</v>
      </c>
      <c r="E87" s="22">
        <v>62633</v>
      </c>
      <c r="F87" s="22">
        <v>30901</v>
      </c>
      <c r="G87" s="22">
        <v>17436</v>
      </c>
    </row>
    <row r="88" spans="1:7" ht="15" x14ac:dyDescent="0.25">
      <c r="A88" s="1" t="str">
        <f t="shared" si="3"/>
        <v>20051</v>
      </c>
      <c r="B88" s="1">
        <f t="shared" si="4"/>
        <v>2005</v>
      </c>
      <c r="C88" s="1">
        <f t="shared" si="5"/>
        <v>1</v>
      </c>
      <c r="D88" s="26">
        <v>38353</v>
      </c>
      <c r="E88" s="22">
        <v>70308</v>
      </c>
      <c r="F88" s="22">
        <v>34744.849900000001</v>
      </c>
      <c r="G88" s="22">
        <v>18415.462019999999</v>
      </c>
    </row>
    <row r="89" spans="1:7" ht="15" x14ac:dyDescent="0.25">
      <c r="A89" s="1" t="str">
        <f t="shared" si="3"/>
        <v>20052</v>
      </c>
      <c r="B89" s="1">
        <f t="shared" si="4"/>
        <v>2005</v>
      </c>
      <c r="C89" s="1">
        <f t="shared" si="5"/>
        <v>2</v>
      </c>
      <c r="D89" s="26">
        <v>38384</v>
      </c>
      <c r="E89" s="22">
        <v>61547</v>
      </c>
      <c r="F89" s="22">
        <v>30415.453420000002</v>
      </c>
      <c r="G89" s="22">
        <v>15679.95702</v>
      </c>
    </row>
    <row r="90" spans="1:7" ht="15" x14ac:dyDescent="0.25">
      <c r="A90" s="1" t="str">
        <f t="shared" si="3"/>
        <v>20053</v>
      </c>
      <c r="B90" s="1">
        <f t="shared" si="4"/>
        <v>2005</v>
      </c>
      <c r="C90" s="1">
        <f t="shared" si="5"/>
        <v>3</v>
      </c>
      <c r="D90" s="26">
        <v>38412</v>
      </c>
      <c r="E90" s="22">
        <v>50027</v>
      </c>
      <c r="F90" s="22">
        <v>29170</v>
      </c>
      <c r="G90" s="22">
        <v>15681</v>
      </c>
    </row>
    <row r="91" spans="1:7" ht="15" x14ac:dyDescent="0.25">
      <c r="A91" s="1" t="str">
        <f t="shared" si="3"/>
        <v>20054</v>
      </c>
      <c r="B91" s="1">
        <f t="shared" si="4"/>
        <v>2005</v>
      </c>
      <c r="C91" s="1">
        <f t="shared" si="5"/>
        <v>4</v>
      </c>
      <c r="D91" s="26">
        <v>38443</v>
      </c>
      <c r="E91" s="22">
        <v>64087</v>
      </c>
      <c r="F91" s="22">
        <v>31671</v>
      </c>
      <c r="G91" s="22">
        <v>18147</v>
      </c>
    </row>
    <row r="92" spans="1:7" ht="15" x14ac:dyDescent="0.25">
      <c r="A92" s="1" t="str">
        <f t="shared" si="3"/>
        <v>20055</v>
      </c>
      <c r="B92" s="1">
        <f t="shared" si="4"/>
        <v>2005</v>
      </c>
      <c r="C92" s="1">
        <f t="shared" si="5"/>
        <v>5</v>
      </c>
      <c r="D92" s="26">
        <v>38473</v>
      </c>
      <c r="E92" s="22">
        <v>72336</v>
      </c>
      <c r="F92" s="22">
        <v>35747</v>
      </c>
      <c r="G92" s="22">
        <v>17699</v>
      </c>
    </row>
    <row r="93" spans="1:7" ht="15" x14ac:dyDescent="0.25">
      <c r="A93" s="1" t="str">
        <f t="shared" si="3"/>
        <v>20056</v>
      </c>
      <c r="B93" s="1">
        <f t="shared" si="4"/>
        <v>2005</v>
      </c>
      <c r="C93" s="1">
        <f t="shared" si="5"/>
        <v>6</v>
      </c>
      <c r="D93" s="26">
        <v>38504</v>
      </c>
      <c r="E93" s="22">
        <v>70082</v>
      </c>
      <c r="F93" s="22">
        <v>34633</v>
      </c>
      <c r="G93" s="22">
        <v>14700</v>
      </c>
    </row>
    <row r="94" spans="1:7" ht="15" x14ac:dyDescent="0.25">
      <c r="A94" s="1" t="str">
        <f t="shared" si="3"/>
        <v>20057</v>
      </c>
      <c r="B94" s="1">
        <f t="shared" si="4"/>
        <v>2005</v>
      </c>
      <c r="C94" s="1">
        <f t="shared" si="5"/>
        <v>7</v>
      </c>
      <c r="D94" s="26">
        <v>38534</v>
      </c>
      <c r="E94" s="22">
        <v>57549</v>
      </c>
      <c r="F94" s="22">
        <v>28440</v>
      </c>
      <c r="G94" s="22">
        <v>14977</v>
      </c>
    </row>
    <row r="95" spans="1:7" ht="15" x14ac:dyDescent="0.25">
      <c r="A95" s="1" t="str">
        <f t="shared" si="3"/>
        <v>20058</v>
      </c>
      <c r="B95" s="1">
        <f t="shared" si="4"/>
        <v>2005</v>
      </c>
      <c r="C95" s="1">
        <f t="shared" si="5"/>
        <v>8</v>
      </c>
      <c r="D95" s="26">
        <v>38565</v>
      </c>
      <c r="E95" s="22">
        <v>59209</v>
      </c>
      <c r="F95" s="22">
        <v>29260</v>
      </c>
      <c r="G95" s="22">
        <v>18528</v>
      </c>
    </row>
    <row r="96" spans="1:7" ht="15" x14ac:dyDescent="0.25">
      <c r="A96" s="1" t="str">
        <f t="shared" si="3"/>
        <v>20059</v>
      </c>
      <c r="B96" s="1">
        <f t="shared" si="4"/>
        <v>2005</v>
      </c>
      <c r="C96" s="1">
        <f t="shared" si="5"/>
        <v>9</v>
      </c>
      <c r="D96" s="26">
        <v>38596</v>
      </c>
      <c r="E96" s="22">
        <v>49458</v>
      </c>
      <c r="F96" s="22">
        <v>24441</v>
      </c>
      <c r="G96" s="22">
        <v>18166</v>
      </c>
    </row>
    <row r="97" spans="1:7" ht="15" x14ac:dyDescent="0.25">
      <c r="A97" s="1" t="str">
        <f t="shared" si="3"/>
        <v>200510</v>
      </c>
      <c r="B97" s="1">
        <f t="shared" si="4"/>
        <v>2005</v>
      </c>
      <c r="C97" s="1">
        <f t="shared" si="5"/>
        <v>10</v>
      </c>
      <c r="D97" s="26">
        <v>38626</v>
      </c>
      <c r="E97" s="22">
        <v>57272</v>
      </c>
      <c r="F97" s="22">
        <v>28303</v>
      </c>
      <c r="G97" s="22">
        <v>19656</v>
      </c>
    </row>
    <row r="98" spans="1:7" ht="15" x14ac:dyDescent="0.25">
      <c r="A98" s="1" t="str">
        <f t="shared" si="3"/>
        <v>200511</v>
      </c>
      <c r="B98" s="1">
        <f t="shared" si="4"/>
        <v>2005</v>
      </c>
      <c r="C98" s="1">
        <f t="shared" si="5"/>
        <v>11</v>
      </c>
      <c r="D98" s="26">
        <v>38657</v>
      </c>
      <c r="E98" s="22">
        <v>69232</v>
      </c>
      <c r="F98" s="22">
        <v>34213</v>
      </c>
      <c r="G98" s="22">
        <v>20346</v>
      </c>
    </row>
    <row r="99" spans="1:7" ht="15" x14ac:dyDescent="0.25">
      <c r="A99" s="1" t="str">
        <f t="shared" si="3"/>
        <v>200512</v>
      </c>
      <c r="B99" s="1">
        <f t="shared" si="4"/>
        <v>2005</v>
      </c>
      <c r="C99" s="1">
        <f t="shared" si="5"/>
        <v>12</v>
      </c>
      <c r="D99" s="26">
        <v>38687</v>
      </c>
      <c r="E99" s="22">
        <v>97070</v>
      </c>
      <c r="F99" s="22">
        <v>47967</v>
      </c>
      <c r="G99" s="22">
        <v>22392</v>
      </c>
    </row>
    <row r="100" spans="1:7" ht="15" x14ac:dyDescent="0.25">
      <c r="A100" s="1" t="str">
        <f t="shared" si="3"/>
        <v>20061</v>
      </c>
      <c r="B100" s="1">
        <f t="shared" si="4"/>
        <v>2006</v>
      </c>
      <c r="C100" s="1">
        <f t="shared" si="5"/>
        <v>1</v>
      </c>
      <c r="D100" s="26">
        <v>38718</v>
      </c>
      <c r="E100" s="22">
        <v>78530</v>
      </c>
      <c r="F100" s="22">
        <v>39374</v>
      </c>
      <c r="G100" s="22">
        <v>21272</v>
      </c>
    </row>
    <row r="101" spans="1:7" ht="15" x14ac:dyDescent="0.25">
      <c r="A101" s="1" t="str">
        <f t="shared" si="3"/>
        <v>20062</v>
      </c>
      <c r="B101" s="1">
        <f t="shared" si="4"/>
        <v>2006</v>
      </c>
      <c r="C101" s="1">
        <f t="shared" si="5"/>
        <v>2</v>
      </c>
      <c r="D101" s="26">
        <v>38749</v>
      </c>
      <c r="E101" s="22">
        <v>67542</v>
      </c>
      <c r="F101" s="22">
        <v>33865</v>
      </c>
      <c r="G101" s="22">
        <v>18002</v>
      </c>
    </row>
    <row r="102" spans="1:7" ht="15" x14ac:dyDescent="0.25">
      <c r="A102" s="1" t="str">
        <f t="shared" si="3"/>
        <v>20063</v>
      </c>
      <c r="B102" s="1">
        <f t="shared" si="4"/>
        <v>2006</v>
      </c>
      <c r="C102" s="1">
        <f t="shared" si="5"/>
        <v>3</v>
      </c>
      <c r="D102" s="26">
        <v>38777</v>
      </c>
      <c r="E102" s="22">
        <v>64443</v>
      </c>
      <c r="F102" s="22">
        <v>31994</v>
      </c>
      <c r="G102" s="22">
        <v>18297</v>
      </c>
    </row>
    <row r="103" spans="1:7" ht="15" x14ac:dyDescent="0.25">
      <c r="A103" s="1" t="str">
        <f t="shared" si="3"/>
        <v>20064</v>
      </c>
      <c r="B103" s="1">
        <f t="shared" si="4"/>
        <v>2006</v>
      </c>
      <c r="C103" s="1">
        <f t="shared" si="5"/>
        <v>4</v>
      </c>
      <c r="D103" s="26">
        <v>38808</v>
      </c>
      <c r="E103" s="22">
        <v>72514</v>
      </c>
      <c r="F103" s="22">
        <v>36020</v>
      </c>
      <c r="G103" s="22">
        <v>21167</v>
      </c>
    </row>
    <row r="104" spans="1:7" ht="15" x14ac:dyDescent="0.25">
      <c r="A104" s="1" t="str">
        <f t="shared" si="3"/>
        <v>20065</v>
      </c>
      <c r="B104" s="1">
        <f t="shared" si="4"/>
        <v>2006</v>
      </c>
      <c r="C104" s="1">
        <f t="shared" si="5"/>
        <v>5</v>
      </c>
      <c r="D104" s="26">
        <v>38838</v>
      </c>
      <c r="E104" s="22">
        <v>79583</v>
      </c>
      <c r="F104" s="22">
        <v>39531</v>
      </c>
      <c r="G104" s="22">
        <v>18692</v>
      </c>
    </row>
    <row r="105" spans="1:7" ht="15" x14ac:dyDescent="0.25">
      <c r="A105" s="1" t="str">
        <f t="shared" si="3"/>
        <v>20066</v>
      </c>
      <c r="B105" s="1">
        <f t="shared" si="4"/>
        <v>2006</v>
      </c>
      <c r="C105" s="1">
        <f t="shared" si="5"/>
        <v>6</v>
      </c>
      <c r="D105" s="26">
        <v>38869</v>
      </c>
      <c r="E105" s="22">
        <v>77449</v>
      </c>
      <c r="F105" s="22">
        <v>38471</v>
      </c>
      <c r="G105" s="22">
        <v>21721</v>
      </c>
    </row>
    <row r="106" spans="1:7" ht="15" x14ac:dyDescent="0.25">
      <c r="A106" s="1" t="str">
        <f t="shared" si="3"/>
        <v>20067</v>
      </c>
      <c r="B106" s="1">
        <f t="shared" si="4"/>
        <v>2006</v>
      </c>
      <c r="C106" s="1">
        <f t="shared" si="5"/>
        <v>7</v>
      </c>
      <c r="D106" s="26">
        <v>38899</v>
      </c>
      <c r="E106" s="22">
        <v>69414</v>
      </c>
      <c r="F106" s="22">
        <v>34472</v>
      </c>
      <c r="G106" s="22">
        <v>20775</v>
      </c>
    </row>
    <row r="107" spans="1:7" ht="15" x14ac:dyDescent="0.25">
      <c r="A107" s="1" t="str">
        <f t="shared" si="3"/>
        <v>20068</v>
      </c>
      <c r="B107" s="1">
        <f t="shared" si="4"/>
        <v>2006</v>
      </c>
      <c r="C107" s="1">
        <f t="shared" si="5"/>
        <v>8</v>
      </c>
      <c r="D107" s="26">
        <v>38930</v>
      </c>
      <c r="E107" s="22">
        <v>70214</v>
      </c>
      <c r="F107" s="22">
        <v>34877</v>
      </c>
      <c r="G107" s="22">
        <v>21400</v>
      </c>
    </row>
    <row r="108" spans="1:7" ht="15" x14ac:dyDescent="0.25">
      <c r="A108" s="1" t="str">
        <f t="shared" si="3"/>
        <v>20069</v>
      </c>
      <c r="B108" s="1">
        <f t="shared" si="4"/>
        <v>2006</v>
      </c>
      <c r="C108" s="1">
        <f t="shared" si="5"/>
        <v>9</v>
      </c>
      <c r="D108" s="26">
        <v>38961</v>
      </c>
      <c r="E108" s="22">
        <v>65210</v>
      </c>
      <c r="F108" s="22">
        <v>32404</v>
      </c>
      <c r="G108" s="22">
        <v>27567</v>
      </c>
    </row>
    <row r="109" spans="1:7" ht="15" x14ac:dyDescent="0.25">
      <c r="A109" s="1" t="str">
        <f t="shared" si="3"/>
        <v>200610</v>
      </c>
      <c r="B109" s="1">
        <f t="shared" si="4"/>
        <v>2006</v>
      </c>
      <c r="C109" s="1">
        <f t="shared" si="5"/>
        <v>10</v>
      </c>
      <c r="D109" s="26">
        <v>38991</v>
      </c>
      <c r="E109" s="22">
        <v>59043</v>
      </c>
      <c r="F109" s="22">
        <v>29365</v>
      </c>
      <c r="G109" s="22">
        <v>23279</v>
      </c>
    </row>
    <row r="110" spans="1:7" ht="15" x14ac:dyDescent="0.25">
      <c r="A110" s="1" t="str">
        <f t="shared" si="3"/>
        <v>200611</v>
      </c>
      <c r="B110" s="1">
        <f t="shared" si="4"/>
        <v>2006</v>
      </c>
      <c r="C110" s="1">
        <f t="shared" si="5"/>
        <v>11</v>
      </c>
      <c r="D110" s="26">
        <v>39022</v>
      </c>
      <c r="E110" s="22">
        <v>73433</v>
      </c>
      <c r="F110" s="22">
        <v>36167</v>
      </c>
      <c r="G110" s="22">
        <v>23422</v>
      </c>
    </row>
    <row r="111" spans="1:7" ht="15" x14ac:dyDescent="0.25">
      <c r="A111" s="1" t="str">
        <f t="shared" si="3"/>
        <v>200612</v>
      </c>
      <c r="B111" s="1">
        <f t="shared" si="4"/>
        <v>2006</v>
      </c>
      <c r="C111" s="1">
        <f t="shared" si="5"/>
        <v>12</v>
      </c>
      <c r="D111" s="26">
        <v>39052</v>
      </c>
      <c r="E111" s="22">
        <v>89011</v>
      </c>
      <c r="F111" s="22">
        <v>43982</v>
      </c>
      <c r="G111" s="22">
        <v>31637</v>
      </c>
    </row>
    <row r="112" spans="1:7" ht="15" x14ac:dyDescent="0.25">
      <c r="A112" s="1" t="str">
        <f t="shared" si="3"/>
        <v>20071</v>
      </c>
      <c r="B112" s="1">
        <f t="shared" si="4"/>
        <v>2007</v>
      </c>
      <c r="C112" s="1">
        <f t="shared" si="5"/>
        <v>1</v>
      </c>
      <c r="D112" s="26">
        <v>39083</v>
      </c>
      <c r="E112" s="22">
        <v>78783.352480000001</v>
      </c>
      <c r="F112" s="22">
        <v>39130.68374</v>
      </c>
      <c r="G112" s="22">
        <v>25816.002260000001</v>
      </c>
    </row>
    <row r="113" spans="1:7" ht="15" x14ac:dyDescent="0.25">
      <c r="A113" s="1" t="str">
        <f t="shared" si="3"/>
        <v>20072</v>
      </c>
      <c r="B113" s="1">
        <f t="shared" si="4"/>
        <v>2007</v>
      </c>
      <c r="C113" s="1">
        <f t="shared" si="5"/>
        <v>2</v>
      </c>
      <c r="D113" s="26">
        <v>39114</v>
      </c>
      <c r="E113" s="22">
        <v>84313.151339999997</v>
      </c>
      <c r="F113" s="22">
        <v>42054.304130000004</v>
      </c>
      <c r="G113" s="22">
        <v>25003.947510000002</v>
      </c>
    </row>
    <row r="114" spans="1:7" ht="15" x14ac:dyDescent="0.25">
      <c r="A114" s="1" t="str">
        <f t="shared" si="3"/>
        <v>20073</v>
      </c>
      <c r="B114" s="1">
        <f t="shared" si="4"/>
        <v>2007</v>
      </c>
      <c r="C114" s="1">
        <f t="shared" si="5"/>
        <v>3</v>
      </c>
      <c r="D114" s="26">
        <v>39142</v>
      </c>
      <c r="E114" s="22">
        <v>68573.98792</v>
      </c>
      <c r="F114" s="22">
        <v>34203.81349</v>
      </c>
      <c r="G114" s="22">
        <v>22840.874620000002</v>
      </c>
    </row>
    <row r="115" spans="1:7" ht="15" x14ac:dyDescent="0.25">
      <c r="A115" s="1" t="str">
        <f t="shared" si="3"/>
        <v>20074</v>
      </c>
      <c r="B115" s="1">
        <f t="shared" si="4"/>
        <v>2007</v>
      </c>
      <c r="C115" s="1">
        <f t="shared" si="5"/>
        <v>4</v>
      </c>
      <c r="D115" s="26">
        <v>39173</v>
      </c>
      <c r="E115" s="22">
        <v>81982</v>
      </c>
      <c r="F115" s="22">
        <v>40895</v>
      </c>
      <c r="G115" s="22">
        <v>26014</v>
      </c>
    </row>
    <row r="116" spans="1:7" ht="15" x14ac:dyDescent="0.25">
      <c r="A116" s="1" t="str">
        <f t="shared" si="3"/>
        <v>20075</v>
      </c>
      <c r="B116" s="1">
        <f t="shared" si="4"/>
        <v>2007</v>
      </c>
      <c r="C116" s="1">
        <f t="shared" si="5"/>
        <v>5</v>
      </c>
      <c r="D116" s="26">
        <v>39203</v>
      </c>
      <c r="E116" s="22">
        <v>87823.744310000009</v>
      </c>
      <c r="F116" s="22">
        <v>43844.590549999994</v>
      </c>
      <c r="G116" s="22">
        <v>25899.086660000001</v>
      </c>
    </row>
    <row r="117" spans="1:7" ht="15" x14ac:dyDescent="0.25">
      <c r="A117" s="1" t="str">
        <f t="shared" si="3"/>
        <v>20076</v>
      </c>
      <c r="B117" s="1">
        <f t="shared" si="4"/>
        <v>2007</v>
      </c>
      <c r="C117" s="1">
        <f t="shared" si="5"/>
        <v>6</v>
      </c>
      <c r="D117" s="26">
        <v>39234</v>
      </c>
      <c r="E117" s="22">
        <v>89718.294030000005</v>
      </c>
      <c r="F117" s="22">
        <v>44790.414320000003</v>
      </c>
      <c r="G117" s="22">
        <v>27583.53701</v>
      </c>
    </row>
    <row r="118" spans="1:7" ht="15" x14ac:dyDescent="0.25">
      <c r="A118" s="1" t="str">
        <f t="shared" si="3"/>
        <v>20077</v>
      </c>
      <c r="B118" s="1">
        <f t="shared" si="4"/>
        <v>2007</v>
      </c>
      <c r="C118" s="1">
        <f t="shared" si="5"/>
        <v>7</v>
      </c>
      <c r="D118" s="26">
        <v>39264</v>
      </c>
      <c r="E118" s="22">
        <v>69772.617549999995</v>
      </c>
      <c r="F118" s="22">
        <v>34832.855630000005</v>
      </c>
      <c r="G118" s="22">
        <v>28245.981399999997</v>
      </c>
    </row>
    <row r="119" spans="1:7" ht="15" x14ac:dyDescent="0.25">
      <c r="A119" s="1" t="str">
        <f t="shared" si="3"/>
        <v>20078</v>
      </c>
      <c r="B119" s="1">
        <f t="shared" si="4"/>
        <v>2007</v>
      </c>
      <c r="C119" s="1">
        <f t="shared" si="5"/>
        <v>8</v>
      </c>
      <c r="D119" s="26">
        <v>39295</v>
      </c>
      <c r="E119" s="22">
        <v>73622</v>
      </c>
      <c r="F119" s="22">
        <v>36754</v>
      </c>
      <c r="G119" s="22">
        <v>27915</v>
      </c>
    </row>
    <row r="120" spans="1:7" ht="15" x14ac:dyDescent="0.25">
      <c r="A120" s="1" t="str">
        <f t="shared" si="3"/>
        <v>20079</v>
      </c>
      <c r="B120" s="1">
        <f t="shared" si="4"/>
        <v>2007</v>
      </c>
      <c r="C120" s="1">
        <f t="shared" si="5"/>
        <v>9</v>
      </c>
      <c r="D120" s="26">
        <v>39326</v>
      </c>
      <c r="E120" s="22">
        <v>75818</v>
      </c>
      <c r="F120" s="22">
        <v>37851</v>
      </c>
      <c r="G120" s="22">
        <v>34598</v>
      </c>
    </row>
    <row r="121" spans="1:7" ht="15" x14ac:dyDescent="0.25">
      <c r="A121" s="1" t="str">
        <f t="shared" si="3"/>
        <v>200710</v>
      </c>
      <c r="B121" s="1">
        <f t="shared" si="4"/>
        <v>2007</v>
      </c>
      <c r="C121" s="1">
        <f t="shared" si="5"/>
        <v>10</v>
      </c>
      <c r="D121" s="26">
        <v>39356</v>
      </c>
      <c r="E121" s="22">
        <v>71741</v>
      </c>
      <c r="F121" s="22">
        <v>35815</v>
      </c>
      <c r="G121" s="22">
        <v>33723</v>
      </c>
    </row>
    <row r="122" spans="1:7" ht="15" x14ac:dyDescent="0.25">
      <c r="A122" s="1" t="str">
        <f t="shared" si="3"/>
        <v>200711</v>
      </c>
      <c r="B122" s="1">
        <f t="shared" si="4"/>
        <v>2007</v>
      </c>
      <c r="C122" s="1">
        <f t="shared" si="5"/>
        <v>11</v>
      </c>
      <c r="D122" s="26">
        <v>39387</v>
      </c>
      <c r="E122" s="22">
        <v>84115</v>
      </c>
      <c r="F122" s="22">
        <v>41993</v>
      </c>
      <c r="G122" s="22">
        <v>33240</v>
      </c>
    </row>
    <row r="123" spans="1:7" ht="15" x14ac:dyDescent="0.25">
      <c r="A123" s="1" t="str">
        <f t="shared" si="3"/>
        <v>200712</v>
      </c>
      <c r="B123" s="1">
        <f t="shared" si="4"/>
        <v>2007</v>
      </c>
      <c r="C123" s="1">
        <f t="shared" si="5"/>
        <v>12</v>
      </c>
      <c r="D123" s="26">
        <v>39417</v>
      </c>
      <c r="E123" s="22">
        <v>126450</v>
      </c>
      <c r="F123" s="22">
        <v>56847</v>
      </c>
      <c r="G123" s="22">
        <v>37205</v>
      </c>
    </row>
    <row r="124" spans="1:7" ht="15" x14ac:dyDescent="0.25">
      <c r="A124" s="1" t="str">
        <f t="shared" si="3"/>
        <v>20081</v>
      </c>
      <c r="B124" s="1">
        <f t="shared" si="4"/>
        <v>2008</v>
      </c>
      <c r="C124" s="1">
        <f t="shared" si="5"/>
        <v>1</v>
      </c>
      <c r="D124" s="26">
        <v>39448</v>
      </c>
      <c r="E124" s="22">
        <v>101683</v>
      </c>
      <c r="F124" s="22">
        <v>50105</v>
      </c>
      <c r="G124" s="22">
        <v>30926</v>
      </c>
    </row>
    <row r="125" spans="1:7" ht="15" x14ac:dyDescent="0.25">
      <c r="A125" s="1" t="str">
        <f t="shared" si="3"/>
        <v>20082</v>
      </c>
      <c r="B125" s="1">
        <f t="shared" si="4"/>
        <v>2008</v>
      </c>
      <c r="C125" s="1">
        <f t="shared" si="5"/>
        <v>2</v>
      </c>
      <c r="D125" s="26">
        <v>39479</v>
      </c>
      <c r="E125" s="22">
        <v>111335</v>
      </c>
      <c r="F125" s="22">
        <v>55070</v>
      </c>
      <c r="G125" s="22">
        <v>33391</v>
      </c>
    </row>
    <row r="126" spans="1:7" ht="15" x14ac:dyDescent="0.25">
      <c r="A126" s="1" t="str">
        <f t="shared" si="3"/>
        <v>20083</v>
      </c>
      <c r="B126" s="1">
        <f t="shared" si="4"/>
        <v>2008</v>
      </c>
      <c r="C126" s="1">
        <f t="shared" si="5"/>
        <v>3</v>
      </c>
      <c r="D126" s="26">
        <v>39508</v>
      </c>
      <c r="E126" s="22">
        <v>87938</v>
      </c>
      <c r="F126" s="22">
        <v>43376</v>
      </c>
      <c r="G126" s="22">
        <v>33259</v>
      </c>
    </row>
    <row r="127" spans="1:7" ht="15" x14ac:dyDescent="0.25">
      <c r="A127" s="1" t="str">
        <f t="shared" si="3"/>
        <v>20084</v>
      </c>
      <c r="B127" s="1">
        <f t="shared" si="4"/>
        <v>2008</v>
      </c>
      <c r="C127" s="1">
        <f t="shared" si="5"/>
        <v>4</v>
      </c>
      <c r="D127" s="26">
        <v>39539</v>
      </c>
      <c r="E127" s="22">
        <v>101932</v>
      </c>
      <c r="F127" s="22">
        <v>50279</v>
      </c>
      <c r="G127" s="22">
        <v>36627</v>
      </c>
    </row>
    <row r="128" spans="1:7" ht="15" x14ac:dyDescent="0.25">
      <c r="A128" s="1" t="str">
        <f t="shared" si="3"/>
        <v>20085</v>
      </c>
      <c r="B128" s="1">
        <f t="shared" si="4"/>
        <v>2008</v>
      </c>
      <c r="C128" s="1">
        <f t="shared" si="5"/>
        <v>5</v>
      </c>
      <c r="D128" s="26">
        <v>39569</v>
      </c>
      <c r="E128" s="22">
        <v>107249</v>
      </c>
      <c r="F128" s="22">
        <v>52901</v>
      </c>
      <c r="G128" s="22">
        <v>37145</v>
      </c>
    </row>
    <row r="129" spans="1:7" ht="15" x14ac:dyDescent="0.25">
      <c r="A129" s="1" t="str">
        <f t="shared" si="3"/>
        <v>20086</v>
      </c>
      <c r="B129" s="1">
        <f t="shared" si="4"/>
        <v>2008</v>
      </c>
      <c r="C129" s="1">
        <f t="shared" si="5"/>
        <v>6</v>
      </c>
      <c r="D129" s="26">
        <v>39600</v>
      </c>
      <c r="E129" s="22">
        <v>92465</v>
      </c>
      <c r="F129" s="22">
        <v>45609</v>
      </c>
      <c r="G129" s="22">
        <v>35381</v>
      </c>
    </row>
    <row r="130" spans="1:7" ht="15" x14ac:dyDescent="0.25">
      <c r="A130" s="1" t="str">
        <f t="shared" si="3"/>
        <v>20087</v>
      </c>
      <c r="B130" s="1">
        <f t="shared" si="4"/>
        <v>2008</v>
      </c>
      <c r="C130" s="1">
        <f t="shared" si="5"/>
        <v>7</v>
      </c>
      <c r="D130" s="26">
        <v>39630</v>
      </c>
      <c r="E130" s="22">
        <v>83741</v>
      </c>
      <c r="F130" s="22">
        <v>41316</v>
      </c>
      <c r="G130" s="22">
        <v>39057</v>
      </c>
    </row>
    <row r="131" spans="1:7" ht="15" x14ac:dyDescent="0.25">
      <c r="A131" s="1" t="str">
        <f t="shared" si="3"/>
        <v>20088</v>
      </c>
      <c r="B131" s="1">
        <f t="shared" si="4"/>
        <v>2008</v>
      </c>
      <c r="C131" s="1">
        <f t="shared" si="5"/>
        <v>8</v>
      </c>
      <c r="D131" s="26">
        <v>39661</v>
      </c>
      <c r="E131" s="22">
        <v>102327</v>
      </c>
      <c r="F131" s="22">
        <v>50467</v>
      </c>
      <c r="G131" s="22">
        <v>39812</v>
      </c>
    </row>
    <row r="132" spans="1:7" ht="15" x14ac:dyDescent="0.25">
      <c r="A132" s="1" t="str">
        <f t="shared" si="3"/>
        <v>20089</v>
      </c>
      <c r="B132" s="1">
        <f t="shared" si="4"/>
        <v>2008</v>
      </c>
      <c r="C132" s="1">
        <f t="shared" si="5"/>
        <v>9</v>
      </c>
      <c r="D132" s="26">
        <v>39692</v>
      </c>
      <c r="E132" s="22">
        <v>90114</v>
      </c>
      <c r="F132" s="22">
        <v>44443</v>
      </c>
      <c r="G132" s="22">
        <v>39357</v>
      </c>
    </row>
    <row r="133" spans="1:7" ht="15" x14ac:dyDescent="0.25">
      <c r="A133" s="1" t="str">
        <f t="shared" ref="A133:A196" si="6">CONCATENATE(B133,C133)</f>
        <v>200810</v>
      </c>
      <c r="B133" s="1">
        <f t="shared" ref="B133:B196" si="7">YEAR(D133)</f>
        <v>2008</v>
      </c>
      <c r="C133" s="1">
        <f t="shared" ref="C133:C196" si="8">MONTH(D133)</f>
        <v>10</v>
      </c>
      <c r="D133" s="26">
        <v>39722</v>
      </c>
      <c r="E133" s="22">
        <v>85764</v>
      </c>
      <c r="F133" s="22">
        <v>42298</v>
      </c>
      <c r="G133" s="22">
        <v>40251</v>
      </c>
    </row>
    <row r="134" spans="1:7" ht="15" x14ac:dyDescent="0.25">
      <c r="A134" s="1" t="str">
        <f t="shared" si="6"/>
        <v>200811</v>
      </c>
      <c r="B134" s="1">
        <f t="shared" si="7"/>
        <v>2008</v>
      </c>
      <c r="C134" s="1">
        <f t="shared" si="8"/>
        <v>11</v>
      </c>
      <c r="D134" s="26">
        <v>39753</v>
      </c>
      <c r="E134" s="22">
        <v>108681</v>
      </c>
      <c r="F134" s="22">
        <v>53601</v>
      </c>
      <c r="G134" s="22">
        <v>38570</v>
      </c>
    </row>
    <row r="135" spans="1:7" ht="15" x14ac:dyDescent="0.25">
      <c r="A135" s="1" t="str">
        <f t="shared" si="6"/>
        <v>200812</v>
      </c>
      <c r="B135" s="1">
        <f t="shared" si="7"/>
        <v>2008</v>
      </c>
      <c r="C135" s="1">
        <f t="shared" si="8"/>
        <v>12</v>
      </c>
      <c r="D135" s="26">
        <v>39783</v>
      </c>
      <c r="E135" s="22">
        <v>178540</v>
      </c>
      <c r="F135" s="22">
        <v>56415</v>
      </c>
      <c r="G135" s="22">
        <v>20063</v>
      </c>
    </row>
    <row r="136" spans="1:7" ht="15" x14ac:dyDescent="0.25">
      <c r="A136" s="1" t="str">
        <f t="shared" si="6"/>
        <v>20091</v>
      </c>
      <c r="B136" s="1">
        <f t="shared" si="7"/>
        <v>2009</v>
      </c>
      <c r="C136" s="1">
        <f t="shared" si="8"/>
        <v>1</v>
      </c>
      <c r="D136" s="26">
        <v>39814</v>
      </c>
      <c r="E136" s="22">
        <v>103800</v>
      </c>
      <c r="F136" s="22">
        <v>51473</v>
      </c>
      <c r="G136" s="22">
        <v>34119</v>
      </c>
    </row>
    <row r="137" spans="1:7" ht="15" x14ac:dyDescent="0.25">
      <c r="A137" s="1" t="str">
        <f t="shared" si="6"/>
        <v>20092</v>
      </c>
      <c r="B137" s="1">
        <f t="shared" si="7"/>
        <v>2009</v>
      </c>
      <c r="C137" s="1">
        <f t="shared" si="8"/>
        <v>2</v>
      </c>
      <c r="D137" s="26">
        <v>39845</v>
      </c>
      <c r="E137" s="22">
        <v>96655</v>
      </c>
      <c r="F137" s="22">
        <v>47986</v>
      </c>
      <c r="G137" s="22">
        <v>30860</v>
      </c>
    </row>
    <row r="138" spans="1:7" ht="15" x14ac:dyDescent="0.25">
      <c r="A138" s="1" t="str">
        <f t="shared" si="6"/>
        <v>20093</v>
      </c>
      <c r="B138" s="1">
        <f t="shared" si="7"/>
        <v>2009</v>
      </c>
      <c r="C138" s="1">
        <f t="shared" si="8"/>
        <v>3</v>
      </c>
      <c r="D138" s="26">
        <v>39873</v>
      </c>
      <c r="E138" s="22">
        <v>77267</v>
      </c>
      <c r="F138" s="22">
        <v>38361</v>
      </c>
      <c r="G138" s="22">
        <v>23800</v>
      </c>
    </row>
    <row r="139" spans="1:7" ht="15" x14ac:dyDescent="0.25">
      <c r="A139" s="1" t="str">
        <f t="shared" si="6"/>
        <v>20094</v>
      </c>
      <c r="B139" s="1">
        <f t="shared" si="7"/>
        <v>2009</v>
      </c>
      <c r="C139" s="1">
        <f t="shared" si="8"/>
        <v>4</v>
      </c>
      <c r="D139" s="26">
        <v>39904</v>
      </c>
      <c r="E139" s="22">
        <v>92235</v>
      </c>
      <c r="F139" s="22">
        <v>45658</v>
      </c>
      <c r="G139" s="22">
        <v>22128</v>
      </c>
    </row>
    <row r="140" spans="1:7" ht="15" x14ac:dyDescent="0.25">
      <c r="A140" s="1" t="str">
        <f t="shared" si="6"/>
        <v>20095</v>
      </c>
      <c r="B140" s="1">
        <f t="shared" si="7"/>
        <v>2009</v>
      </c>
      <c r="C140" s="1">
        <f t="shared" si="8"/>
        <v>5</v>
      </c>
      <c r="D140" s="26">
        <v>39934</v>
      </c>
      <c r="E140" s="22">
        <v>109570</v>
      </c>
      <c r="F140" s="22">
        <v>54379</v>
      </c>
      <c r="G140" s="22">
        <v>30157</v>
      </c>
    </row>
    <row r="141" spans="1:7" ht="15" x14ac:dyDescent="0.25">
      <c r="A141" s="1" t="str">
        <f t="shared" si="6"/>
        <v>20096</v>
      </c>
      <c r="B141" s="1">
        <f t="shared" si="7"/>
        <v>2009</v>
      </c>
      <c r="C141" s="1">
        <f t="shared" si="8"/>
        <v>6</v>
      </c>
      <c r="D141" s="26">
        <v>39965</v>
      </c>
      <c r="E141" s="22">
        <v>94537</v>
      </c>
      <c r="F141" s="22">
        <v>46935</v>
      </c>
      <c r="G141" s="22">
        <v>27857</v>
      </c>
    </row>
    <row r="142" spans="1:7" ht="15" x14ac:dyDescent="0.25">
      <c r="A142" s="1" t="str">
        <f t="shared" si="6"/>
        <v>20097</v>
      </c>
      <c r="B142" s="1">
        <f t="shared" si="7"/>
        <v>2009</v>
      </c>
      <c r="C142" s="1">
        <f t="shared" si="8"/>
        <v>7</v>
      </c>
      <c r="D142" s="26">
        <v>39995</v>
      </c>
      <c r="E142" s="22">
        <v>72538</v>
      </c>
      <c r="F142" s="22">
        <v>36013</v>
      </c>
      <c r="G142" s="22">
        <v>25595</v>
      </c>
    </row>
    <row r="143" spans="1:7" ht="15" x14ac:dyDescent="0.25">
      <c r="A143" s="1" t="str">
        <f t="shared" si="6"/>
        <v>20098</v>
      </c>
      <c r="B143" s="1">
        <f t="shared" si="7"/>
        <v>2009</v>
      </c>
      <c r="C143" s="1">
        <f t="shared" si="8"/>
        <v>8</v>
      </c>
      <c r="D143" s="26">
        <v>40026</v>
      </c>
      <c r="E143" s="22">
        <v>84377</v>
      </c>
      <c r="F143" s="22">
        <v>41895</v>
      </c>
      <c r="G143" s="22">
        <v>27618</v>
      </c>
    </row>
    <row r="144" spans="1:7" ht="15" x14ac:dyDescent="0.25">
      <c r="A144" s="1" t="str">
        <f t="shared" si="6"/>
        <v>20099</v>
      </c>
      <c r="B144" s="1">
        <f t="shared" si="7"/>
        <v>2009</v>
      </c>
      <c r="C144" s="1">
        <f t="shared" si="8"/>
        <v>9</v>
      </c>
      <c r="D144" s="26">
        <v>40057</v>
      </c>
      <c r="E144" s="22">
        <v>74678</v>
      </c>
      <c r="F144" s="22">
        <v>37086</v>
      </c>
      <c r="G144" s="22">
        <v>28629</v>
      </c>
    </row>
    <row r="145" spans="1:7" ht="15" x14ac:dyDescent="0.25">
      <c r="A145" s="1" t="str">
        <f t="shared" si="6"/>
        <v>200910</v>
      </c>
      <c r="B145" s="1">
        <f t="shared" si="7"/>
        <v>2009</v>
      </c>
      <c r="C145" s="1">
        <f t="shared" si="8"/>
        <v>10</v>
      </c>
      <c r="D145" s="26">
        <v>40087</v>
      </c>
      <c r="E145" s="22">
        <v>85904</v>
      </c>
      <c r="F145" s="22">
        <v>42662</v>
      </c>
      <c r="G145" s="22">
        <v>36418</v>
      </c>
    </row>
    <row r="146" spans="1:7" ht="15" x14ac:dyDescent="0.25">
      <c r="A146" s="1" t="str">
        <f t="shared" si="6"/>
        <v>200911</v>
      </c>
      <c r="B146" s="1">
        <f t="shared" si="7"/>
        <v>2009</v>
      </c>
      <c r="C146" s="1">
        <f t="shared" si="8"/>
        <v>11</v>
      </c>
      <c r="D146" s="26">
        <v>40118</v>
      </c>
      <c r="E146" s="22">
        <v>107156</v>
      </c>
      <c r="F146" s="22">
        <v>53253</v>
      </c>
      <c r="G146" s="22">
        <v>28892</v>
      </c>
    </row>
    <row r="147" spans="1:7" ht="15" x14ac:dyDescent="0.25">
      <c r="A147" s="1" t="str">
        <f t="shared" si="6"/>
        <v>200912</v>
      </c>
      <c r="B147" s="1">
        <f t="shared" si="7"/>
        <v>2009</v>
      </c>
      <c r="C147" s="1">
        <f t="shared" si="8"/>
        <v>12</v>
      </c>
      <c r="D147" s="26">
        <v>40148</v>
      </c>
      <c r="E147" s="22">
        <v>177423</v>
      </c>
      <c r="F147" s="22">
        <v>57423</v>
      </c>
      <c r="G147" s="22">
        <v>41940</v>
      </c>
    </row>
    <row r="148" spans="1:7" ht="15" x14ac:dyDescent="0.25">
      <c r="A148" s="1" t="str">
        <f t="shared" si="6"/>
        <v>20101</v>
      </c>
      <c r="B148" s="1">
        <f t="shared" si="7"/>
        <v>2010</v>
      </c>
      <c r="C148" s="1">
        <f t="shared" si="8"/>
        <v>1</v>
      </c>
      <c r="D148" s="26">
        <v>40179</v>
      </c>
      <c r="E148" s="22">
        <v>91677</v>
      </c>
      <c r="F148" s="22">
        <v>44220</v>
      </c>
      <c r="G148" s="22">
        <v>35781</v>
      </c>
    </row>
    <row r="149" spans="1:7" ht="15" x14ac:dyDescent="0.25">
      <c r="A149" s="1" t="str">
        <f t="shared" si="6"/>
        <v>20102</v>
      </c>
      <c r="B149" s="1">
        <f t="shared" si="7"/>
        <v>2010</v>
      </c>
      <c r="C149" s="1">
        <f t="shared" si="8"/>
        <v>2</v>
      </c>
      <c r="D149" s="26">
        <v>40210</v>
      </c>
      <c r="E149" s="22">
        <v>111987</v>
      </c>
      <c r="F149" s="22">
        <v>53990</v>
      </c>
      <c r="G149" s="22">
        <v>34809</v>
      </c>
    </row>
    <row r="150" spans="1:7" ht="15" x14ac:dyDescent="0.25">
      <c r="A150" s="1" t="str">
        <f t="shared" si="6"/>
        <v>20103</v>
      </c>
      <c r="B150" s="1">
        <f t="shared" si="7"/>
        <v>2010</v>
      </c>
      <c r="C150" s="1">
        <f t="shared" si="8"/>
        <v>3</v>
      </c>
      <c r="D150" s="26">
        <v>40238</v>
      </c>
      <c r="E150" s="22">
        <v>83191</v>
      </c>
      <c r="F150" s="22">
        <v>40107</v>
      </c>
      <c r="G150" s="22">
        <v>31824</v>
      </c>
    </row>
    <row r="151" spans="1:7" ht="15" x14ac:dyDescent="0.25">
      <c r="A151" s="1" t="str">
        <f t="shared" si="6"/>
        <v>20104</v>
      </c>
      <c r="B151" s="1">
        <f t="shared" si="7"/>
        <v>2010</v>
      </c>
      <c r="C151" s="1">
        <f t="shared" si="8"/>
        <v>4</v>
      </c>
      <c r="D151" s="26">
        <v>40269</v>
      </c>
      <c r="E151" s="22">
        <v>99675</v>
      </c>
      <c r="F151" s="22">
        <v>48054</v>
      </c>
      <c r="G151" s="22">
        <v>33540</v>
      </c>
    </row>
    <row r="152" spans="1:7" ht="15" x14ac:dyDescent="0.25">
      <c r="A152" s="1" t="str">
        <f t="shared" si="6"/>
        <v>20105</v>
      </c>
      <c r="B152" s="1">
        <f t="shared" si="7"/>
        <v>2010</v>
      </c>
      <c r="C152" s="1">
        <f t="shared" si="8"/>
        <v>5</v>
      </c>
      <c r="D152" s="26">
        <v>40299</v>
      </c>
      <c r="E152" s="22">
        <v>122631</v>
      </c>
      <c r="F152" s="22">
        <v>59164</v>
      </c>
      <c r="G152" s="22">
        <v>33049</v>
      </c>
    </row>
    <row r="153" spans="1:7" ht="15" x14ac:dyDescent="0.25">
      <c r="A153" s="1" t="str">
        <f t="shared" si="6"/>
        <v>20106</v>
      </c>
      <c r="B153" s="1">
        <f t="shared" si="7"/>
        <v>2010</v>
      </c>
      <c r="C153" s="1">
        <f t="shared" si="8"/>
        <v>6</v>
      </c>
      <c r="D153" s="26">
        <v>40330</v>
      </c>
      <c r="E153" s="22">
        <v>106136</v>
      </c>
      <c r="F153" s="22">
        <v>51347</v>
      </c>
      <c r="G153" s="22">
        <v>38615</v>
      </c>
    </row>
    <row r="154" spans="1:7" ht="15" x14ac:dyDescent="0.25">
      <c r="A154" s="1" t="str">
        <f t="shared" si="6"/>
        <v>20107</v>
      </c>
      <c r="B154" s="1">
        <f t="shared" si="7"/>
        <v>2010</v>
      </c>
      <c r="C154" s="1">
        <f t="shared" si="8"/>
        <v>7</v>
      </c>
      <c r="D154" s="26">
        <v>40360</v>
      </c>
      <c r="E154" s="22">
        <v>77957</v>
      </c>
      <c r="F154" s="22">
        <v>37757</v>
      </c>
      <c r="G154" s="22">
        <v>41113</v>
      </c>
    </row>
    <row r="155" spans="1:7" ht="15" x14ac:dyDescent="0.25">
      <c r="A155" s="1" t="str">
        <f t="shared" si="6"/>
        <v>20108</v>
      </c>
      <c r="B155" s="1">
        <f t="shared" si="7"/>
        <v>2010</v>
      </c>
      <c r="C155" s="1">
        <f t="shared" si="8"/>
        <v>8</v>
      </c>
      <c r="D155" s="26">
        <v>40391</v>
      </c>
      <c r="E155" s="22">
        <v>104442</v>
      </c>
      <c r="F155" s="22">
        <v>50602</v>
      </c>
      <c r="G155" s="22">
        <v>39782</v>
      </c>
    </row>
    <row r="156" spans="1:7" ht="15" x14ac:dyDescent="0.25">
      <c r="A156" s="1" t="str">
        <f t="shared" si="6"/>
        <v>20109</v>
      </c>
      <c r="B156" s="1">
        <f t="shared" si="7"/>
        <v>2010</v>
      </c>
      <c r="C156" s="1">
        <f t="shared" si="8"/>
        <v>9</v>
      </c>
      <c r="D156" s="26">
        <v>40422</v>
      </c>
      <c r="E156" s="22">
        <v>87518</v>
      </c>
      <c r="F156" s="22">
        <v>42241</v>
      </c>
      <c r="G156" s="22">
        <v>39686</v>
      </c>
    </row>
    <row r="157" spans="1:7" ht="15" x14ac:dyDescent="0.25">
      <c r="A157" s="1" t="str">
        <f t="shared" si="6"/>
        <v>201010</v>
      </c>
      <c r="B157" s="1">
        <f t="shared" si="7"/>
        <v>2010</v>
      </c>
      <c r="C157" s="1">
        <f t="shared" si="8"/>
        <v>10</v>
      </c>
      <c r="D157" s="26">
        <v>40452</v>
      </c>
      <c r="E157" s="22">
        <v>94212</v>
      </c>
      <c r="F157" s="22">
        <v>45472.01885</v>
      </c>
      <c r="G157" s="22">
        <v>41302.099730000002</v>
      </c>
    </row>
    <row r="158" spans="1:7" ht="15" x14ac:dyDescent="0.25">
      <c r="A158" s="1" t="str">
        <f t="shared" si="6"/>
        <v>201011</v>
      </c>
      <c r="B158" s="1">
        <f t="shared" si="7"/>
        <v>2010</v>
      </c>
      <c r="C158" s="1">
        <f t="shared" si="8"/>
        <v>11</v>
      </c>
      <c r="D158" s="26">
        <v>40483</v>
      </c>
      <c r="E158" s="22">
        <v>112938</v>
      </c>
      <c r="F158" s="22">
        <v>54510.241150000002</v>
      </c>
      <c r="G158" s="22">
        <v>43998.204579999998</v>
      </c>
    </row>
    <row r="159" spans="1:7" ht="15" x14ac:dyDescent="0.25">
      <c r="A159" s="1" t="str">
        <f t="shared" si="6"/>
        <v>201012</v>
      </c>
      <c r="B159" s="1">
        <f t="shared" si="7"/>
        <v>2010</v>
      </c>
      <c r="C159" s="1">
        <f t="shared" si="8"/>
        <v>12</v>
      </c>
      <c r="D159" s="26">
        <v>40513</v>
      </c>
      <c r="E159" s="22">
        <v>209585</v>
      </c>
      <c r="F159" s="22">
        <v>68707.457190000001</v>
      </c>
      <c r="G159" s="22">
        <v>51725.98388</v>
      </c>
    </row>
    <row r="160" spans="1:7" ht="15" x14ac:dyDescent="0.25">
      <c r="A160" s="1" t="str">
        <f t="shared" si="6"/>
        <v>20111</v>
      </c>
      <c r="B160" s="1">
        <f t="shared" si="7"/>
        <v>2011</v>
      </c>
      <c r="C160" s="1">
        <f t="shared" si="8"/>
        <v>1</v>
      </c>
      <c r="D160" s="26">
        <v>40544</v>
      </c>
      <c r="E160" s="22">
        <v>133984</v>
      </c>
      <c r="F160" s="22">
        <v>66674.753410000005</v>
      </c>
      <c r="G160" s="22">
        <v>56417.286760000003</v>
      </c>
    </row>
    <row r="161" spans="1:7" ht="15" x14ac:dyDescent="0.25">
      <c r="A161" s="1" t="str">
        <f t="shared" si="6"/>
        <v>20112</v>
      </c>
      <c r="B161" s="1">
        <f t="shared" si="7"/>
        <v>2011</v>
      </c>
      <c r="C161" s="1">
        <f t="shared" si="8"/>
        <v>2</v>
      </c>
      <c r="D161" s="26">
        <v>40575</v>
      </c>
      <c r="E161" s="22">
        <v>144135</v>
      </c>
      <c r="F161" s="22">
        <v>71832.272899999996</v>
      </c>
      <c r="G161" s="22">
        <v>53071.958440000002</v>
      </c>
    </row>
    <row r="162" spans="1:7" ht="15" x14ac:dyDescent="0.25">
      <c r="A162" s="1" t="str">
        <f t="shared" si="6"/>
        <v>20113</v>
      </c>
      <c r="B162" s="1">
        <f t="shared" si="7"/>
        <v>2011</v>
      </c>
      <c r="C162" s="1">
        <f t="shared" si="8"/>
        <v>3</v>
      </c>
      <c r="D162" s="26">
        <v>40603</v>
      </c>
      <c r="E162" s="22">
        <v>94317</v>
      </c>
      <c r="F162" s="22">
        <v>46893.566789999997</v>
      </c>
      <c r="G162" s="22">
        <v>38982</v>
      </c>
    </row>
    <row r="163" spans="1:7" ht="15" x14ac:dyDescent="0.25">
      <c r="A163" s="1" t="str">
        <f t="shared" si="6"/>
        <v>20114</v>
      </c>
      <c r="B163" s="1">
        <f t="shared" si="7"/>
        <v>2011</v>
      </c>
      <c r="C163" s="1">
        <f t="shared" si="8"/>
        <v>4</v>
      </c>
      <c r="D163" s="26">
        <v>40634</v>
      </c>
      <c r="E163" s="22">
        <v>125017</v>
      </c>
      <c r="F163" s="22">
        <v>62157.273289999997</v>
      </c>
      <c r="G163" s="22">
        <v>52660.838730000003</v>
      </c>
    </row>
    <row r="164" spans="1:7" ht="15" x14ac:dyDescent="0.25">
      <c r="A164" s="1" t="str">
        <f t="shared" si="6"/>
        <v>20115</v>
      </c>
      <c r="B164" s="1">
        <f t="shared" si="7"/>
        <v>2011</v>
      </c>
      <c r="C164" s="1">
        <f t="shared" si="8"/>
        <v>5</v>
      </c>
      <c r="D164" s="26">
        <v>40664</v>
      </c>
      <c r="E164" s="22">
        <v>143493</v>
      </c>
      <c r="F164" s="22">
        <v>71343.543470000004</v>
      </c>
      <c r="G164" s="22">
        <v>44380.867579999998</v>
      </c>
    </row>
    <row r="165" spans="1:7" ht="15" x14ac:dyDescent="0.25">
      <c r="A165" s="1" t="str">
        <f t="shared" si="6"/>
        <v>20116</v>
      </c>
      <c r="B165" s="1">
        <f t="shared" si="7"/>
        <v>2011</v>
      </c>
      <c r="C165" s="1">
        <f t="shared" si="8"/>
        <v>6</v>
      </c>
      <c r="D165" s="26">
        <v>40695</v>
      </c>
      <c r="E165" s="22">
        <v>129512</v>
      </c>
      <c r="F165" s="22">
        <v>64392.573620000003</v>
      </c>
      <c r="G165" s="22">
        <v>49063.625059999998</v>
      </c>
    </row>
    <row r="166" spans="1:7" ht="15" x14ac:dyDescent="0.25">
      <c r="A166" s="1" t="str">
        <f t="shared" si="6"/>
        <v>20117</v>
      </c>
      <c r="B166" s="1">
        <f t="shared" si="7"/>
        <v>2011</v>
      </c>
      <c r="C166" s="1">
        <f t="shared" si="8"/>
        <v>7</v>
      </c>
      <c r="D166" s="26">
        <v>40725</v>
      </c>
      <c r="E166" s="22">
        <v>110173</v>
      </c>
      <c r="F166" s="22">
        <v>54777</v>
      </c>
      <c r="G166" s="22">
        <v>48218</v>
      </c>
    </row>
    <row r="167" spans="1:7" ht="15" x14ac:dyDescent="0.25">
      <c r="A167" s="1" t="str">
        <f t="shared" si="6"/>
        <v>20118</v>
      </c>
      <c r="B167" s="1">
        <f t="shared" si="7"/>
        <v>2011</v>
      </c>
      <c r="C167" s="1">
        <f t="shared" si="8"/>
        <v>8</v>
      </c>
      <c r="D167" s="26">
        <v>40756</v>
      </c>
      <c r="E167" s="22">
        <v>113646</v>
      </c>
      <c r="F167" s="22">
        <v>56504</v>
      </c>
      <c r="G167" s="22">
        <v>48385</v>
      </c>
    </row>
    <row r="168" spans="1:7" ht="15" x14ac:dyDescent="0.25">
      <c r="A168" s="1" t="str">
        <f t="shared" si="6"/>
        <v>20119</v>
      </c>
      <c r="B168" s="1">
        <f t="shared" si="7"/>
        <v>2011</v>
      </c>
      <c r="C168" s="1">
        <f t="shared" si="8"/>
        <v>9</v>
      </c>
      <c r="D168" s="26">
        <v>40787</v>
      </c>
      <c r="E168" s="22">
        <v>90682</v>
      </c>
      <c r="F168" s="22">
        <v>45109</v>
      </c>
      <c r="G168" s="22">
        <v>44854</v>
      </c>
    </row>
    <row r="169" spans="1:7" ht="15" x14ac:dyDescent="0.25">
      <c r="A169" s="1" t="str">
        <f t="shared" si="6"/>
        <v>201110</v>
      </c>
      <c r="B169" s="1">
        <f t="shared" si="7"/>
        <v>2011</v>
      </c>
      <c r="C169" s="1">
        <f t="shared" si="8"/>
        <v>10</v>
      </c>
      <c r="D169" s="26">
        <v>40817</v>
      </c>
      <c r="E169" s="22">
        <v>119129</v>
      </c>
      <c r="F169" s="22">
        <v>59292</v>
      </c>
      <c r="G169" s="22">
        <v>63364</v>
      </c>
    </row>
    <row r="170" spans="1:7" ht="15" x14ac:dyDescent="0.25">
      <c r="A170" s="1" t="str">
        <f t="shared" si="6"/>
        <v>201111</v>
      </c>
      <c r="B170" s="1">
        <f t="shared" si="7"/>
        <v>2011</v>
      </c>
      <c r="C170" s="1">
        <f t="shared" si="8"/>
        <v>11</v>
      </c>
      <c r="D170" s="26">
        <v>40848</v>
      </c>
      <c r="E170" s="22">
        <v>125869</v>
      </c>
      <c r="F170" s="22">
        <v>62635</v>
      </c>
      <c r="G170" s="22">
        <v>59429</v>
      </c>
    </row>
    <row r="171" spans="1:7" ht="15" x14ac:dyDescent="0.25">
      <c r="A171" s="1" t="str">
        <f t="shared" si="6"/>
        <v>201112</v>
      </c>
      <c r="B171" s="1">
        <f t="shared" si="7"/>
        <v>2011</v>
      </c>
      <c r="C171" s="1">
        <f t="shared" si="8"/>
        <v>12</v>
      </c>
      <c r="D171" s="26">
        <v>40878</v>
      </c>
      <c r="E171" s="22">
        <v>228030</v>
      </c>
      <c r="F171" s="22">
        <v>72758</v>
      </c>
      <c r="G171" s="22">
        <v>67226</v>
      </c>
    </row>
    <row r="172" spans="1:7" ht="15" x14ac:dyDescent="0.25">
      <c r="A172" s="1" t="str">
        <f t="shared" si="6"/>
        <v>20121</v>
      </c>
      <c r="B172" s="1">
        <f t="shared" si="7"/>
        <v>2012</v>
      </c>
      <c r="C172" s="1">
        <f t="shared" si="8"/>
        <v>1</v>
      </c>
      <c r="D172" s="26">
        <v>40909</v>
      </c>
      <c r="E172" s="22">
        <v>137005</v>
      </c>
      <c r="F172" s="22">
        <v>66351</v>
      </c>
      <c r="G172" s="22">
        <v>25860</v>
      </c>
    </row>
    <row r="173" spans="1:7" ht="15" x14ac:dyDescent="0.25">
      <c r="A173" s="1" t="str">
        <f t="shared" si="6"/>
        <v>20122</v>
      </c>
      <c r="B173" s="1">
        <f t="shared" si="7"/>
        <v>2012</v>
      </c>
      <c r="C173" s="1">
        <f t="shared" si="8"/>
        <v>2</v>
      </c>
      <c r="D173" s="26">
        <v>40940</v>
      </c>
      <c r="E173" s="22">
        <v>165728</v>
      </c>
      <c r="F173" s="22">
        <v>80261</v>
      </c>
      <c r="G173" s="22">
        <v>54023</v>
      </c>
    </row>
    <row r="174" spans="1:7" ht="15" x14ac:dyDescent="0.25">
      <c r="A174" s="1" t="str">
        <f t="shared" si="6"/>
        <v>20123</v>
      </c>
      <c r="B174" s="1">
        <f t="shared" si="7"/>
        <v>2012</v>
      </c>
      <c r="C174" s="1">
        <f t="shared" si="8"/>
        <v>3</v>
      </c>
      <c r="D174" s="26">
        <v>40969</v>
      </c>
      <c r="E174" s="22">
        <v>112556</v>
      </c>
      <c r="F174" s="22">
        <v>54510</v>
      </c>
      <c r="G174" s="22">
        <v>48117</v>
      </c>
    </row>
    <row r="175" spans="1:7" ht="15" x14ac:dyDescent="0.25">
      <c r="A175" s="1" t="str">
        <f t="shared" si="6"/>
        <v>20124</v>
      </c>
      <c r="B175" s="1">
        <f t="shared" si="7"/>
        <v>2012</v>
      </c>
      <c r="C175" s="1">
        <f t="shared" si="8"/>
        <v>4</v>
      </c>
      <c r="D175" s="26">
        <v>41000</v>
      </c>
      <c r="E175" s="22">
        <v>141857</v>
      </c>
      <c r="F175" s="22">
        <v>62157</v>
      </c>
      <c r="G175" s="22">
        <v>52661</v>
      </c>
    </row>
    <row r="176" spans="1:7" ht="15" x14ac:dyDescent="0.25">
      <c r="A176" s="1" t="str">
        <f t="shared" si="6"/>
        <v>20125</v>
      </c>
      <c r="B176" s="1">
        <f t="shared" si="7"/>
        <v>2012</v>
      </c>
      <c r="C176" s="1">
        <f t="shared" si="8"/>
        <v>5</v>
      </c>
      <c r="D176" s="26">
        <v>41030</v>
      </c>
      <c r="E176" s="22">
        <v>158657</v>
      </c>
      <c r="F176" s="22">
        <v>76837</v>
      </c>
      <c r="G176" s="22">
        <v>57788</v>
      </c>
    </row>
    <row r="177" spans="1:31" ht="15" x14ac:dyDescent="0.25">
      <c r="A177" s="1" t="str">
        <f t="shared" si="6"/>
        <v>20126</v>
      </c>
      <c r="B177" s="1">
        <f t="shared" si="7"/>
        <v>2012</v>
      </c>
      <c r="C177" s="1">
        <f t="shared" si="8"/>
        <v>6</v>
      </c>
      <c r="D177" s="26">
        <v>41061</v>
      </c>
      <c r="E177" s="22">
        <v>135390</v>
      </c>
      <c r="F177" s="22">
        <v>65569</v>
      </c>
      <c r="G177" s="22">
        <v>51626</v>
      </c>
    </row>
    <row r="178" spans="1:31" ht="15" x14ac:dyDescent="0.25">
      <c r="A178" s="1" t="str">
        <f t="shared" si="6"/>
        <v>20127</v>
      </c>
      <c r="B178" s="1">
        <f t="shared" si="7"/>
        <v>2012</v>
      </c>
      <c r="C178" s="1">
        <f t="shared" si="8"/>
        <v>7</v>
      </c>
      <c r="D178" s="26">
        <v>41091</v>
      </c>
      <c r="E178" s="22">
        <v>101105</v>
      </c>
      <c r="F178" s="22">
        <v>48965</v>
      </c>
      <c r="G178" s="22">
        <v>48143</v>
      </c>
    </row>
    <row r="179" spans="1:31" ht="15" x14ac:dyDescent="0.25">
      <c r="A179" s="1" t="str">
        <f t="shared" si="6"/>
        <v>20128</v>
      </c>
      <c r="B179" s="1">
        <f t="shared" si="7"/>
        <v>2012</v>
      </c>
      <c r="C179" s="1">
        <f t="shared" si="8"/>
        <v>8</v>
      </c>
      <c r="D179" s="26">
        <v>41122</v>
      </c>
      <c r="E179" s="22">
        <v>111567</v>
      </c>
      <c r="F179" s="22">
        <v>54031</v>
      </c>
      <c r="G179" s="22">
        <v>53213</v>
      </c>
    </row>
    <row r="180" spans="1:31" ht="15" x14ac:dyDescent="0.25">
      <c r="A180" s="1" t="str">
        <f t="shared" si="6"/>
        <v>20129</v>
      </c>
      <c r="B180" s="1">
        <f t="shared" si="7"/>
        <v>2012</v>
      </c>
      <c r="C180" s="1">
        <f t="shared" si="8"/>
        <v>9</v>
      </c>
      <c r="D180" s="26">
        <v>41153</v>
      </c>
      <c r="E180" s="22">
        <v>97619</v>
      </c>
      <c r="F180" s="22">
        <v>47277</v>
      </c>
      <c r="G180" s="22">
        <v>53815</v>
      </c>
    </row>
    <row r="181" spans="1:31" ht="15" x14ac:dyDescent="0.25">
      <c r="A181" s="1" t="str">
        <f t="shared" si="6"/>
        <v>201210</v>
      </c>
      <c r="B181" s="1">
        <f t="shared" si="7"/>
        <v>2012</v>
      </c>
      <c r="C181" s="1">
        <f t="shared" si="8"/>
        <v>10</v>
      </c>
      <c r="D181" s="26">
        <v>41183</v>
      </c>
      <c r="E181" s="22">
        <v>103627</v>
      </c>
      <c r="F181" s="22">
        <v>50186</v>
      </c>
      <c r="G181" s="22">
        <v>52012</v>
      </c>
    </row>
    <row r="182" spans="1:31" ht="15" x14ac:dyDescent="0.25">
      <c r="A182" s="1" t="str">
        <f t="shared" si="6"/>
        <v>201211</v>
      </c>
      <c r="B182" s="1">
        <f t="shared" si="7"/>
        <v>2012</v>
      </c>
      <c r="C182" s="1">
        <f t="shared" si="8"/>
        <v>11</v>
      </c>
      <c r="D182" s="26">
        <v>41214</v>
      </c>
      <c r="E182" s="22">
        <v>140069</v>
      </c>
      <c r="F182" s="22">
        <v>67835</v>
      </c>
      <c r="G182" s="22">
        <v>52656</v>
      </c>
    </row>
    <row r="183" spans="1:31" ht="15" x14ac:dyDescent="0.25">
      <c r="A183" s="1" t="str">
        <f t="shared" si="6"/>
        <v>201212</v>
      </c>
      <c r="B183" s="1">
        <f t="shared" si="7"/>
        <v>2012</v>
      </c>
      <c r="C183" s="1">
        <f t="shared" si="8"/>
        <v>12</v>
      </c>
      <c r="D183" s="26">
        <v>41244</v>
      </c>
      <c r="E183" s="22">
        <v>245044</v>
      </c>
      <c r="F183" s="22">
        <v>76674</v>
      </c>
      <c r="G183" s="22">
        <v>60462</v>
      </c>
    </row>
    <row r="184" spans="1:31" x14ac:dyDescent="0.2">
      <c r="A184" s="1" t="str">
        <f t="shared" si="6"/>
        <v>20131</v>
      </c>
      <c r="B184" s="1">
        <f t="shared" si="7"/>
        <v>2013</v>
      </c>
      <c r="C184" s="1">
        <f t="shared" si="8"/>
        <v>1</v>
      </c>
      <c r="D184" s="9">
        <v>41275</v>
      </c>
      <c r="E184" s="23">
        <v>146430</v>
      </c>
      <c r="F184" s="24">
        <v>70892</v>
      </c>
      <c r="G184" s="24">
        <v>65708</v>
      </c>
      <c r="AE184" s="1" t="s">
        <v>0</v>
      </c>
    </row>
    <row r="185" spans="1:31" x14ac:dyDescent="0.2">
      <c r="A185" s="1" t="str">
        <f t="shared" si="6"/>
        <v>20132</v>
      </c>
      <c r="B185" s="1">
        <f t="shared" si="7"/>
        <v>2013</v>
      </c>
      <c r="C185" s="1">
        <f t="shared" si="8"/>
        <v>2</v>
      </c>
      <c r="D185" s="9">
        <v>41306</v>
      </c>
      <c r="E185" s="23">
        <v>196908</v>
      </c>
      <c r="F185" s="24">
        <v>95378</v>
      </c>
      <c r="G185" s="24">
        <v>50453</v>
      </c>
      <c r="AE185" s="1" t="s">
        <v>1</v>
      </c>
    </row>
    <row r="186" spans="1:31" x14ac:dyDescent="0.2">
      <c r="A186" s="1" t="str">
        <f t="shared" si="6"/>
        <v>20133</v>
      </c>
      <c r="B186" s="1">
        <f t="shared" si="7"/>
        <v>2013</v>
      </c>
      <c r="C186" s="1">
        <f t="shared" si="8"/>
        <v>3</v>
      </c>
      <c r="D186" s="9">
        <v>41334</v>
      </c>
      <c r="E186" s="14">
        <v>113227</v>
      </c>
      <c r="F186" s="14">
        <v>54931</v>
      </c>
      <c r="G186" s="14">
        <v>44539</v>
      </c>
      <c r="AE186" s="1" t="s">
        <v>2</v>
      </c>
    </row>
    <row r="187" spans="1:31" x14ac:dyDescent="0.2">
      <c r="A187" s="1" t="str">
        <f t="shared" si="6"/>
        <v>20134</v>
      </c>
      <c r="B187" s="1">
        <f t="shared" si="7"/>
        <v>2013</v>
      </c>
      <c r="C187" s="1">
        <f t="shared" si="8"/>
        <v>4</v>
      </c>
      <c r="D187" s="9">
        <v>41365</v>
      </c>
      <c r="E187" s="14">
        <v>121490</v>
      </c>
      <c r="F187" s="14">
        <v>58939</v>
      </c>
      <c r="G187" s="14">
        <v>40840</v>
      </c>
      <c r="AE187" s="1" t="s">
        <v>3</v>
      </c>
    </row>
    <row r="188" spans="1:31" x14ac:dyDescent="0.2">
      <c r="A188" s="1" t="str">
        <f t="shared" si="6"/>
        <v>20135</v>
      </c>
      <c r="B188" s="1">
        <f t="shared" si="7"/>
        <v>2013</v>
      </c>
      <c r="C188" s="1">
        <f t="shared" si="8"/>
        <v>5</v>
      </c>
      <c r="D188" s="9">
        <v>41395</v>
      </c>
      <c r="E188" s="14">
        <v>174564</v>
      </c>
      <c r="F188" s="14">
        <v>84688</v>
      </c>
      <c r="G188" s="14">
        <v>54917</v>
      </c>
      <c r="AE188" s="1" t="s">
        <v>4</v>
      </c>
    </row>
    <row r="189" spans="1:31" x14ac:dyDescent="0.2">
      <c r="A189" s="1" t="str">
        <f t="shared" si="6"/>
        <v>20136</v>
      </c>
      <c r="B189" s="1">
        <f t="shared" si="7"/>
        <v>2013</v>
      </c>
      <c r="C189" s="1">
        <f t="shared" si="8"/>
        <v>6</v>
      </c>
      <c r="D189" s="9">
        <v>41426</v>
      </c>
      <c r="E189" s="14">
        <v>145793</v>
      </c>
      <c r="F189" s="14">
        <v>70654</v>
      </c>
      <c r="G189" s="14">
        <v>57197</v>
      </c>
      <c r="AE189" s="1" t="s">
        <v>5</v>
      </c>
    </row>
    <row r="190" spans="1:31" x14ac:dyDescent="0.2">
      <c r="A190" s="1" t="str">
        <f t="shared" si="6"/>
        <v>20137</v>
      </c>
      <c r="B190" s="1">
        <f t="shared" si="7"/>
        <v>2013</v>
      </c>
      <c r="C190" s="1">
        <f t="shared" si="8"/>
        <v>7</v>
      </c>
      <c r="D190" s="9">
        <v>41456</v>
      </c>
      <c r="E190" s="14">
        <v>103713</v>
      </c>
      <c r="F190" s="14">
        <v>50315</v>
      </c>
      <c r="G190" s="14">
        <v>56341</v>
      </c>
      <c r="AE190" s="1" t="s">
        <v>6</v>
      </c>
    </row>
    <row r="191" spans="1:31" x14ac:dyDescent="0.2">
      <c r="A191" s="1" t="str">
        <f t="shared" si="6"/>
        <v>20138</v>
      </c>
      <c r="B191" s="1">
        <f t="shared" si="7"/>
        <v>2013</v>
      </c>
      <c r="C191" s="1">
        <f t="shared" si="8"/>
        <v>8</v>
      </c>
      <c r="D191" s="9">
        <v>41487</v>
      </c>
      <c r="E191" s="14">
        <v>135602</v>
      </c>
      <c r="F191" s="14">
        <v>65786</v>
      </c>
      <c r="G191" s="14">
        <v>60285</v>
      </c>
      <c r="AE191" s="1" t="s">
        <v>7</v>
      </c>
    </row>
    <row r="192" spans="1:31" x14ac:dyDescent="0.2">
      <c r="A192" s="1" t="str">
        <f t="shared" si="6"/>
        <v>20139</v>
      </c>
      <c r="B192" s="1">
        <f t="shared" si="7"/>
        <v>2013</v>
      </c>
      <c r="C192" s="1">
        <f t="shared" si="8"/>
        <v>9</v>
      </c>
      <c r="D192" s="9">
        <v>41518</v>
      </c>
      <c r="E192" s="14">
        <v>112229</v>
      </c>
      <c r="F192" s="14">
        <v>54447</v>
      </c>
      <c r="G192" s="14">
        <v>54837</v>
      </c>
      <c r="AE192" s="1" t="s">
        <v>8</v>
      </c>
    </row>
    <row r="193" spans="1:31" x14ac:dyDescent="0.2">
      <c r="A193" s="1" t="str">
        <f t="shared" si="6"/>
        <v>201310</v>
      </c>
      <c r="B193" s="1">
        <f t="shared" si="7"/>
        <v>2013</v>
      </c>
      <c r="C193" s="1">
        <f t="shared" si="8"/>
        <v>10</v>
      </c>
      <c r="D193" s="9">
        <v>41548</v>
      </c>
      <c r="E193" s="14">
        <v>112231</v>
      </c>
      <c r="F193" s="14">
        <v>54447</v>
      </c>
      <c r="G193" s="14">
        <v>58621</v>
      </c>
      <c r="AE193" s="1" t="s">
        <v>9</v>
      </c>
    </row>
    <row r="194" spans="1:31" x14ac:dyDescent="0.2">
      <c r="A194" s="1" t="str">
        <f t="shared" si="6"/>
        <v>201311</v>
      </c>
      <c r="B194" s="1">
        <f t="shared" si="7"/>
        <v>2013</v>
      </c>
      <c r="C194" s="1">
        <f t="shared" si="8"/>
        <v>11</v>
      </c>
      <c r="D194" s="9">
        <v>41579</v>
      </c>
      <c r="E194" s="14">
        <v>156110</v>
      </c>
      <c r="F194" s="14">
        <v>75735</v>
      </c>
      <c r="G194" s="14">
        <v>65026</v>
      </c>
      <c r="AE194" s="1" t="s">
        <v>10</v>
      </c>
    </row>
    <row r="195" spans="1:31" x14ac:dyDescent="0.2">
      <c r="A195" s="1" t="str">
        <f t="shared" si="6"/>
        <v>201312</v>
      </c>
      <c r="B195" s="1">
        <f t="shared" si="7"/>
        <v>2013</v>
      </c>
      <c r="C195" s="1">
        <f t="shared" si="8"/>
        <v>12</v>
      </c>
      <c r="D195" s="9">
        <v>41609</v>
      </c>
      <c r="E195" s="14">
        <v>254135</v>
      </c>
      <c r="F195" s="14">
        <v>78115</v>
      </c>
      <c r="G195" s="14">
        <v>69499</v>
      </c>
      <c r="AE195" s="1" t="s">
        <v>11</v>
      </c>
    </row>
    <row r="196" spans="1:31" x14ac:dyDescent="0.2">
      <c r="A196" s="1" t="str">
        <f t="shared" si="6"/>
        <v>20141</v>
      </c>
      <c r="B196" s="1">
        <f t="shared" si="7"/>
        <v>2014</v>
      </c>
      <c r="C196" s="1">
        <f t="shared" si="8"/>
        <v>1</v>
      </c>
      <c r="D196" s="9">
        <v>41640</v>
      </c>
      <c r="E196" s="14">
        <v>191969</v>
      </c>
      <c r="F196" s="14">
        <v>93362</v>
      </c>
      <c r="G196" s="14">
        <v>56331</v>
      </c>
      <c r="AE196" s="1" t="s">
        <v>0</v>
      </c>
    </row>
    <row r="197" spans="1:31" x14ac:dyDescent="0.2">
      <c r="A197" s="1" t="str">
        <f t="shared" ref="A197:A260" si="9">CONCATENATE(B197,C197)</f>
        <v>20142</v>
      </c>
      <c r="B197" s="1">
        <f t="shared" ref="B197:B260" si="10">YEAR(D197)</f>
        <v>2014</v>
      </c>
      <c r="C197" s="1">
        <f t="shared" ref="C197:C260" si="11">MONTH(D197)</f>
        <v>2</v>
      </c>
      <c r="D197" s="9">
        <v>41671</v>
      </c>
      <c r="E197" s="14">
        <v>204994</v>
      </c>
      <c r="F197" s="14">
        <v>99697</v>
      </c>
      <c r="G197" s="14">
        <v>47691</v>
      </c>
      <c r="AE197" s="1" t="s">
        <v>1</v>
      </c>
    </row>
    <row r="198" spans="1:31" x14ac:dyDescent="0.2">
      <c r="A198" s="1" t="str">
        <f t="shared" si="9"/>
        <v>20143</v>
      </c>
      <c r="B198" s="1">
        <f t="shared" si="10"/>
        <v>2014</v>
      </c>
      <c r="C198" s="1">
        <f t="shared" si="11"/>
        <v>3</v>
      </c>
      <c r="D198" s="9">
        <v>41699</v>
      </c>
      <c r="E198" s="14">
        <v>121602</v>
      </c>
      <c r="F198" s="14">
        <v>59140</v>
      </c>
      <c r="G198" s="14">
        <v>46600</v>
      </c>
      <c r="AE198" s="1" t="s">
        <v>2</v>
      </c>
    </row>
    <row r="199" spans="1:31" x14ac:dyDescent="0.2">
      <c r="A199" s="1" t="str">
        <f t="shared" si="9"/>
        <v>20144</v>
      </c>
      <c r="B199" s="1">
        <f t="shared" si="10"/>
        <v>2014</v>
      </c>
      <c r="C199" s="1">
        <f t="shared" si="11"/>
        <v>4</v>
      </c>
      <c r="D199" s="9">
        <v>41730</v>
      </c>
      <c r="E199" s="14">
        <v>138788</v>
      </c>
      <c r="F199" s="14">
        <v>67498</v>
      </c>
      <c r="G199" s="14">
        <v>50814</v>
      </c>
      <c r="AE199" s="1" t="s">
        <v>3</v>
      </c>
    </row>
    <row r="200" spans="1:31" x14ac:dyDescent="0.2">
      <c r="A200" s="1" t="str">
        <f t="shared" si="9"/>
        <v>20145</v>
      </c>
      <c r="B200" s="1">
        <f t="shared" si="10"/>
        <v>2014</v>
      </c>
      <c r="C200" s="1">
        <f t="shared" si="11"/>
        <v>5</v>
      </c>
      <c r="D200" s="9">
        <v>41760</v>
      </c>
      <c r="E200" s="14">
        <v>184952</v>
      </c>
      <c r="F200" s="14">
        <v>89949</v>
      </c>
      <c r="G200" s="14">
        <v>55268</v>
      </c>
      <c r="AE200" s="1" t="s">
        <v>4</v>
      </c>
    </row>
    <row r="201" spans="1:31" x14ac:dyDescent="0.2">
      <c r="A201" s="1" t="str">
        <f t="shared" si="9"/>
        <v>20146</v>
      </c>
      <c r="B201" s="1">
        <f t="shared" si="10"/>
        <v>2014</v>
      </c>
      <c r="C201" s="1">
        <f t="shared" si="11"/>
        <v>6</v>
      </c>
      <c r="D201" s="9">
        <v>41791</v>
      </c>
      <c r="E201" s="14">
        <v>138702</v>
      </c>
      <c r="F201" s="14">
        <v>67456</v>
      </c>
      <c r="G201" s="14">
        <v>52640</v>
      </c>
      <c r="AE201" s="1" t="s">
        <v>5</v>
      </c>
    </row>
    <row r="202" spans="1:31" x14ac:dyDescent="0.2">
      <c r="A202" s="1" t="str">
        <f t="shared" si="9"/>
        <v>20147</v>
      </c>
      <c r="B202" s="1">
        <f t="shared" si="10"/>
        <v>2014</v>
      </c>
      <c r="C202" s="1">
        <f t="shared" si="11"/>
        <v>7</v>
      </c>
      <c r="D202" s="9">
        <v>41821</v>
      </c>
      <c r="E202" s="14">
        <v>119127</v>
      </c>
      <c r="F202" s="14">
        <v>57936</v>
      </c>
      <c r="G202" s="14">
        <v>54077</v>
      </c>
      <c r="AE202" s="1" t="s">
        <v>6</v>
      </c>
    </row>
    <row r="203" spans="1:31" x14ac:dyDescent="0.2">
      <c r="A203" s="1" t="str">
        <f t="shared" si="9"/>
        <v>20148</v>
      </c>
      <c r="B203" s="1">
        <f t="shared" si="10"/>
        <v>2014</v>
      </c>
      <c r="C203" s="1">
        <f t="shared" si="11"/>
        <v>8</v>
      </c>
      <c r="D203" s="9">
        <v>41852</v>
      </c>
      <c r="E203" s="14">
        <v>144720</v>
      </c>
      <c r="F203" s="14">
        <v>70383</v>
      </c>
      <c r="G203" s="14">
        <v>55742</v>
      </c>
    </row>
    <row r="204" spans="1:31" x14ac:dyDescent="0.2">
      <c r="A204" s="1" t="str">
        <f t="shared" si="9"/>
        <v>20149</v>
      </c>
      <c r="B204" s="1">
        <f t="shared" si="10"/>
        <v>2014</v>
      </c>
      <c r="C204" s="1">
        <f t="shared" si="11"/>
        <v>9</v>
      </c>
      <c r="D204" s="9">
        <v>41883</v>
      </c>
      <c r="E204" s="14">
        <v>126859</v>
      </c>
      <c r="F204" s="14">
        <v>61696</v>
      </c>
      <c r="G204" s="14">
        <v>52456</v>
      </c>
    </row>
    <row r="205" spans="1:31" x14ac:dyDescent="0.2">
      <c r="A205" s="1" t="str">
        <f t="shared" si="9"/>
        <v>201410</v>
      </c>
      <c r="B205" s="1">
        <f t="shared" si="10"/>
        <v>2014</v>
      </c>
      <c r="C205" s="1">
        <f t="shared" si="11"/>
        <v>10</v>
      </c>
      <c r="D205" s="9">
        <v>41913</v>
      </c>
      <c r="E205" s="14">
        <v>119895</v>
      </c>
      <c r="F205" s="14">
        <v>58309</v>
      </c>
      <c r="G205" s="14">
        <v>56176</v>
      </c>
    </row>
    <row r="206" spans="1:31" x14ac:dyDescent="0.2">
      <c r="A206" s="1" t="str">
        <f t="shared" si="9"/>
        <v>201411</v>
      </c>
      <c r="B206" s="1">
        <f t="shared" si="10"/>
        <v>2014</v>
      </c>
      <c r="C206" s="1">
        <f t="shared" si="11"/>
        <v>11</v>
      </c>
      <c r="D206" s="9">
        <v>41944</v>
      </c>
      <c r="E206" s="14">
        <v>158696</v>
      </c>
      <c r="F206" s="14">
        <v>77180</v>
      </c>
      <c r="G206" s="14">
        <v>64507</v>
      </c>
    </row>
    <row r="207" spans="1:31" x14ac:dyDescent="0.2">
      <c r="A207" s="1" t="str">
        <f t="shared" si="9"/>
        <v>201412</v>
      </c>
      <c r="B207" s="1">
        <f t="shared" si="10"/>
        <v>2014</v>
      </c>
      <c r="C207" s="1">
        <f t="shared" si="11"/>
        <v>12</v>
      </c>
      <c r="D207" s="9">
        <v>41974</v>
      </c>
      <c r="E207" s="14">
        <v>275480</v>
      </c>
      <c r="F207" s="14">
        <v>84776</v>
      </c>
      <c r="G207" s="14">
        <v>63650</v>
      </c>
    </row>
    <row r="208" spans="1:31" x14ac:dyDescent="0.2">
      <c r="A208" s="1" t="str">
        <f t="shared" si="9"/>
        <v>20151</v>
      </c>
      <c r="B208" s="1">
        <f t="shared" si="10"/>
        <v>2015</v>
      </c>
      <c r="C208" s="1">
        <f t="shared" si="11"/>
        <v>1</v>
      </c>
      <c r="D208" s="9">
        <v>42005</v>
      </c>
      <c r="E208" s="14">
        <v>191268</v>
      </c>
      <c r="F208" s="14">
        <v>94969</v>
      </c>
      <c r="G208" s="14">
        <v>71032.475879999998</v>
      </c>
    </row>
    <row r="209" spans="1:7" x14ac:dyDescent="0.2">
      <c r="A209" s="1" t="str">
        <f t="shared" si="9"/>
        <v>20152</v>
      </c>
      <c r="B209" s="1">
        <f t="shared" si="10"/>
        <v>2015</v>
      </c>
      <c r="C209" s="1">
        <f t="shared" si="11"/>
        <v>2</v>
      </c>
      <c r="D209" s="9">
        <v>42036</v>
      </c>
      <c r="E209" s="14">
        <v>195247</v>
      </c>
      <c r="F209" s="14">
        <v>96945</v>
      </c>
      <c r="G209" s="14">
        <v>42258.620560000003</v>
      </c>
    </row>
    <row r="210" spans="1:7" x14ac:dyDescent="0.2">
      <c r="A210" s="1" t="str">
        <f t="shared" si="9"/>
        <v>20153</v>
      </c>
      <c r="B210" s="1">
        <f t="shared" si="10"/>
        <v>2015</v>
      </c>
      <c r="C210" s="1">
        <f t="shared" si="11"/>
        <v>3</v>
      </c>
      <c r="D210" s="9">
        <v>42064</v>
      </c>
      <c r="E210" s="14">
        <v>142209</v>
      </c>
      <c r="F210" s="14">
        <v>70610</v>
      </c>
      <c r="G210" s="14">
        <v>41451.318220000001</v>
      </c>
    </row>
    <row r="211" spans="1:7" x14ac:dyDescent="0.2">
      <c r="A211" s="1" t="str">
        <f t="shared" si="9"/>
        <v>20154</v>
      </c>
      <c r="B211" s="1">
        <f t="shared" si="10"/>
        <v>2015</v>
      </c>
      <c r="C211" s="1">
        <f t="shared" si="11"/>
        <v>4</v>
      </c>
      <c r="D211" s="9">
        <v>42095</v>
      </c>
      <c r="E211" s="14">
        <v>153481.13969000004</v>
      </c>
      <c r="F211" s="14">
        <v>76206.980540000004</v>
      </c>
      <c r="G211" s="14">
        <v>43415.255509999995</v>
      </c>
    </row>
    <row r="212" spans="1:7" x14ac:dyDescent="0.2">
      <c r="A212" s="1" t="str">
        <f t="shared" si="9"/>
        <v>20155</v>
      </c>
      <c r="B212" s="1">
        <f t="shared" si="10"/>
        <v>2015</v>
      </c>
      <c r="C212" s="1">
        <f t="shared" si="11"/>
        <v>5</v>
      </c>
      <c r="D212" s="9">
        <v>42125</v>
      </c>
      <c r="E212" s="14">
        <v>188738.98749999999</v>
      </c>
      <c r="F212" s="14">
        <v>93713.32836</v>
      </c>
      <c r="G212" s="14">
        <v>48977.260620000001</v>
      </c>
    </row>
    <row r="213" spans="1:7" x14ac:dyDescent="0.2">
      <c r="A213" s="1" t="str">
        <f t="shared" si="9"/>
        <v>20156</v>
      </c>
      <c r="B213" s="1">
        <f t="shared" si="10"/>
        <v>2015</v>
      </c>
      <c r="C213" s="1">
        <f t="shared" si="11"/>
        <v>6</v>
      </c>
      <c r="D213" s="9">
        <v>42156</v>
      </c>
      <c r="E213" s="14">
        <v>164222.05266999995</v>
      </c>
      <c r="F213" s="14">
        <v>81540.096219999992</v>
      </c>
      <c r="G213" s="14">
        <v>46650.891630000006</v>
      </c>
    </row>
    <row r="214" spans="1:7" x14ac:dyDescent="0.2">
      <c r="A214" s="1" t="str">
        <f t="shared" si="9"/>
        <v>20157</v>
      </c>
      <c r="B214" s="1">
        <f t="shared" si="10"/>
        <v>2015</v>
      </c>
      <c r="C214" s="1">
        <f t="shared" si="11"/>
        <v>7</v>
      </c>
      <c r="D214" s="9">
        <v>42186</v>
      </c>
      <c r="E214" s="14">
        <v>149416.04647000009</v>
      </c>
      <c r="F214" s="14">
        <v>60377.8848</v>
      </c>
      <c r="G214" s="14">
        <v>42974.918389999999</v>
      </c>
    </row>
    <row r="215" spans="1:7" x14ac:dyDescent="0.2">
      <c r="A215" s="1" t="str">
        <f t="shared" si="9"/>
        <v>20158</v>
      </c>
      <c r="B215" s="1">
        <f t="shared" si="10"/>
        <v>2015</v>
      </c>
      <c r="C215" s="1">
        <f t="shared" si="11"/>
        <v>8</v>
      </c>
      <c r="D215" s="9">
        <v>42217</v>
      </c>
      <c r="E215" s="14">
        <v>142221.20227000001</v>
      </c>
      <c r="F215" s="14">
        <v>70616.158100000001</v>
      </c>
      <c r="G215" s="14">
        <v>45727.317729999995</v>
      </c>
    </row>
    <row r="216" spans="1:7" x14ac:dyDescent="0.2">
      <c r="A216" s="1" t="str">
        <f t="shared" si="9"/>
        <v>20159</v>
      </c>
      <c r="B216" s="1">
        <f t="shared" si="10"/>
        <v>2015</v>
      </c>
      <c r="C216" s="1">
        <f t="shared" si="11"/>
        <v>9</v>
      </c>
      <c r="D216" s="9">
        <v>42248</v>
      </c>
      <c r="E216" s="14">
        <v>118570.70044999997</v>
      </c>
      <c r="F216" s="14">
        <v>58873.13018</v>
      </c>
      <c r="G216" s="14">
        <v>45597.417590000005</v>
      </c>
    </row>
    <row r="217" spans="1:7" x14ac:dyDescent="0.2">
      <c r="A217" s="1" t="str">
        <f t="shared" si="9"/>
        <v>201510</v>
      </c>
      <c r="B217" s="1">
        <f t="shared" si="10"/>
        <v>2015</v>
      </c>
      <c r="C217" s="1">
        <f t="shared" si="11"/>
        <v>10</v>
      </c>
      <c r="D217" s="9">
        <v>42278</v>
      </c>
      <c r="E217" s="14">
        <v>134953.10941000003</v>
      </c>
      <c r="F217" s="14">
        <v>67007.379060000007</v>
      </c>
      <c r="G217" s="14">
        <v>52889.284220000001</v>
      </c>
    </row>
    <row r="218" spans="1:7" x14ac:dyDescent="0.2">
      <c r="A218" s="1" t="str">
        <f t="shared" si="9"/>
        <v>201511</v>
      </c>
      <c r="B218" s="1">
        <f t="shared" si="10"/>
        <v>2015</v>
      </c>
      <c r="C218" s="1">
        <f t="shared" si="11"/>
        <v>11</v>
      </c>
      <c r="D218" s="9">
        <v>42309</v>
      </c>
      <c r="E218" s="14">
        <v>152372.65198999998</v>
      </c>
      <c r="F218" s="14">
        <v>75656.590949999998</v>
      </c>
      <c r="G218" s="14">
        <v>48186.830990000002</v>
      </c>
    </row>
    <row r="219" spans="1:7" x14ac:dyDescent="0.2">
      <c r="A219" s="1" t="str">
        <f t="shared" si="9"/>
        <v>201512</v>
      </c>
      <c r="B219" s="1">
        <f t="shared" si="10"/>
        <v>2015</v>
      </c>
      <c r="C219" s="1">
        <f t="shared" si="11"/>
        <v>12</v>
      </c>
      <c r="D219" s="9">
        <v>42339</v>
      </c>
      <c r="E219" s="14">
        <v>278262.36775999982</v>
      </c>
      <c r="F219" s="14">
        <v>86996.397920000003</v>
      </c>
      <c r="G219" s="14">
        <v>47581.554280000004</v>
      </c>
    </row>
    <row r="220" spans="1:7" x14ac:dyDescent="0.2">
      <c r="A220" s="1" t="str">
        <f t="shared" si="9"/>
        <v>20161</v>
      </c>
      <c r="B220" s="1">
        <f t="shared" si="10"/>
        <v>2016</v>
      </c>
      <c r="C220" s="1">
        <f t="shared" si="11"/>
        <v>1</v>
      </c>
      <c r="D220" s="15">
        <v>42370</v>
      </c>
      <c r="E220" s="14">
        <v>166923.12048999994</v>
      </c>
      <c r="F220" s="14">
        <v>82894.208939999997</v>
      </c>
      <c r="G220" s="14">
        <v>64515.690619999994</v>
      </c>
    </row>
    <row r="221" spans="1:7" x14ac:dyDescent="0.2">
      <c r="A221" s="1" t="str">
        <f t="shared" si="9"/>
        <v>20162</v>
      </c>
      <c r="B221" s="1">
        <f t="shared" si="10"/>
        <v>2016</v>
      </c>
      <c r="C221" s="1">
        <f t="shared" si="11"/>
        <v>2</v>
      </c>
      <c r="D221" s="15">
        <v>42401</v>
      </c>
      <c r="E221" s="14">
        <v>208963.61045000001</v>
      </c>
      <c r="F221" s="14">
        <v>104512.23305</v>
      </c>
      <c r="G221" s="14">
        <v>49825.678970000001</v>
      </c>
    </row>
    <row r="222" spans="1:7" x14ac:dyDescent="0.2">
      <c r="A222" s="1" t="str">
        <f t="shared" si="9"/>
        <v>20163</v>
      </c>
      <c r="B222" s="1">
        <f t="shared" si="10"/>
        <v>2016</v>
      </c>
      <c r="C222" s="1">
        <f t="shared" si="11"/>
        <v>3</v>
      </c>
      <c r="D222" s="15">
        <v>42430</v>
      </c>
      <c r="E222" s="14">
        <v>126928.38615000001</v>
      </c>
      <c r="F222" s="14">
        <v>63032.779210000001</v>
      </c>
      <c r="G222" s="14">
        <v>48645.565040000001</v>
      </c>
    </row>
    <row r="223" spans="1:7" x14ac:dyDescent="0.2">
      <c r="A223" s="1" t="str">
        <f t="shared" si="9"/>
        <v>20164</v>
      </c>
      <c r="B223" s="1">
        <f t="shared" si="10"/>
        <v>2016</v>
      </c>
      <c r="C223" s="1">
        <f t="shared" si="11"/>
        <v>4</v>
      </c>
      <c r="D223" s="15">
        <v>42461</v>
      </c>
      <c r="E223" s="14">
        <v>150890.59085000007</v>
      </c>
      <c r="F223" s="14">
        <v>74932.437379999988</v>
      </c>
      <c r="G223" s="14">
        <v>49914.457889999998</v>
      </c>
    </row>
    <row r="224" spans="1:7" x14ac:dyDescent="0.2">
      <c r="A224" s="1" t="str">
        <f t="shared" si="9"/>
        <v>20165</v>
      </c>
      <c r="B224" s="1">
        <f t="shared" si="10"/>
        <v>2016</v>
      </c>
      <c r="C224" s="1">
        <f t="shared" si="11"/>
        <v>5</v>
      </c>
      <c r="D224" s="15">
        <v>42491</v>
      </c>
      <c r="E224" s="14">
        <v>200648.06348999985</v>
      </c>
      <c r="F224" s="14">
        <v>99688.320699999997</v>
      </c>
      <c r="G224" s="14">
        <v>56681.8842</v>
      </c>
    </row>
    <row r="225" spans="1:7" x14ac:dyDescent="0.2">
      <c r="A225" s="1" t="str">
        <f t="shared" si="9"/>
        <v>20166</v>
      </c>
      <c r="B225" s="1">
        <f t="shared" si="10"/>
        <v>2016</v>
      </c>
      <c r="C225" s="1">
        <f t="shared" si="11"/>
        <v>6</v>
      </c>
      <c r="D225" s="15">
        <v>42522</v>
      </c>
      <c r="E225" s="14">
        <v>165767.80697000001</v>
      </c>
      <c r="F225" s="14">
        <v>82320.479760000002</v>
      </c>
      <c r="G225" s="14">
        <v>33728.295020000005</v>
      </c>
    </row>
    <row r="226" spans="1:7" x14ac:dyDescent="0.2">
      <c r="A226" s="1" t="str">
        <f t="shared" si="9"/>
        <v>20167</v>
      </c>
      <c r="B226" s="1">
        <f t="shared" si="10"/>
        <v>2016</v>
      </c>
      <c r="C226" s="1">
        <f t="shared" si="11"/>
        <v>7</v>
      </c>
      <c r="D226" s="15">
        <v>42552</v>
      </c>
      <c r="E226" s="14">
        <v>199722.20669999984</v>
      </c>
      <c r="F226" s="14">
        <v>59683.31349</v>
      </c>
      <c r="G226" s="14">
        <v>45827.376469999996</v>
      </c>
    </row>
    <row r="227" spans="1:7" x14ac:dyDescent="0.2">
      <c r="A227" s="1" t="str">
        <f t="shared" si="9"/>
        <v>20168</v>
      </c>
      <c r="B227" s="1">
        <f t="shared" si="10"/>
        <v>2016</v>
      </c>
      <c r="C227" s="1">
        <f t="shared" si="11"/>
        <v>8</v>
      </c>
      <c r="D227" s="15">
        <v>42583</v>
      </c>
      <c r="E227" s="14">
        <v>149044.32894000006</v>
      </c>
      <c r="F227" s="14">
        <v>74015.581540000014</v>
      </c>
      <c r="G227" s="14">
        <v>46308.12962</v>
      </c>
    </row>
    <row r="228" spans="1:7" x14ac:dyDescent="0.2">
      <c r="A228" s="1" t="str">
        <f t="shared" si="9"/>
        <v>20169</v>
      </c>
      <c r="B228" s="1">
        <f t="shared" si="10"/>
        <v>2016</v>
      </c>
      <c r="C228" s="1">
        <f t="shared" si="11"/>
        <v>9</v>
      </c>
      <c r="D228" s="15">
        <v>42614</v>
      </c>
      <c r="E228" s="14">
        <v>121202.81771000003</v>
      </c>
      <c r="F228" s="14">
        <v>60189.455130000002</v>
      </c>
      <c r="G228" s="14">
        <v>50710.177990000004</v>
      </c>
    </row>
    <row r="229" spans="1:7" x14ac:dyDescent="0.2">
      <c r="A229" s="1" t="str">
        <f t="shared" si="9"/>
        <v>201610</v>
      </c>
      <c r="B229" s="1">
        <f t="shared" si="10"/>
        <v>2016</v>
      </c>
      <c r="C229" s="1">
        <f t="shared" si="11"/>
        <v>10</v>
      </c>
      <c r="D229" s="15">
        <v>42644</v>
      </c>
      <c r="E229" s="14">
        <v>147127.49409999998</v>
      </c>
      <c r="F229" s="14">
        <v>77951.923200000005</v>
      </c>
      <c r="G229" s="14">
        <v>53598.013960000004</v>
      </c>
    </row>
    <row r="230" spans="1:7" x14ac:dyDescent="0.2">
      <c r="A230" s="1" t="str">
        <f t="shared" si="9"/>
        <v>201611</v>
      </c>
      <c r="B230" s="1">
        <f t="shared" si="10"/>
        <v>2016</v>
      </c>
      <c r="C230" s="1">
        <f t="shared" si="11"/>
        <v>11</v>
      </c>
      <c r="D230" s="15">
        <v>42675</v>
      </c>
      <c r="E230" s="14">
        <v>268432.03909999982</v>
      </c>
      <c r="F230" s="14">
        <v>182797.43359999999</v>
      </c>
      <c r="G230" s="14">
        <v>56014.126210000002</v>
      </c>
    </row>
    <row r="231" spans="1:7" x14ac:dyDescent="0.2">
      <c r="A231" s="1" t="str">
        <f t="shared" si="9"/>
        <v>201612</v>
      </c>
      <c r="B231" s="1">
        <f t="shared" si="10"/>
        <v>2016</v>
      </c>
      <c r="C231" s="1">
        <f t="shared" si="11"/>
        <v>12</v>
      </c>
      <c r="D231" s="15">
        <v>42705</v>
      </c>
      <c r="E231" s="14">
        <v>443395.36309000017</v>
      </c>
      <c r="F231" s="14">
        <v>227303.04449</v>
      </c>
      <c r="G231" s="14">
        <v>59593.660799999998</v>
      </c>
    </row>
    <row r="232" spans="1:7" x14ac:dyDescent="0.2">
      <c r="A232" s="1" t="str">
        <f t="shared" si="9"/>
        <v>20171</v>
      </c>
      <c r="B232" s="1">
        <f t="shared" si="10"/>
        <v>2017</v>
      </c>
      <c r="C232" s="1">
        <f t="shared" si="11"/>
        <v>1</v>
      </c>
      <c r="D232" s="15">
        <v>42736</v>
      </c>
      <c r="E232" s="14">
        <v>179466.78994999992</v>
      </c>
      <c r="F232" s="14">
        <v>88962.97855</v>
      </c>
      <c r="G232" s="14">
        <v>42428.13579</v>
      </c>
    </row>
    <row r="233" spans="1:7" x14ac:dyDescent="0.2">
      <c r="A233" s="1" t="str">
        <f t="shared" si="9"/>
        <v>20172</v>
      </c>
      <c r="B233" s="1">
        <f t="shared" si="10"/>
        <v>2017</v>
      </c>
      <c r="C233" s="1">
        <f t="shared" si="11"/>
        <v>2</v>
      </c>
      <c r="D233" s="15">
        <v>42767</v>
      </c>
      <c r="E233" s="14">
        <v>230071.59523999988</v>
      </c>
      <c r="F233" s="14">
        <v>117413.51763</v>
      </c>
      <c r="G233" s="14">
        <v>46654.009610000001</v>
      </c>
    </row>
    <row r="234" spans="1:7" x14ac:dyDescent="0.2">
      <c r="A234" s="1" t="str">
        <f t="shared" si="9"/>
        <v>20173</v>
      </c>
      <c r="B234" s="1">
        <f t="shared" si="10"/>
        <v>2017</v>
      </c>
      <c r="C234" s="1">
        <f t="shared" si="11"/>
        <v>3</v>
      </c>
      <c r="D234" s="15">
        <v>42795</v>
      </c>
      <c r="E234" s="14">
        <v>144153.95154999997</v>
      </c>
      <c r="F234" s="14">
        <v>71466.610180000003</v>
      </c>
      <c r="G234" s="14">
        <v>36661.841009999996</v>
      </c>
    </row>
    <row r="235" spans="1:7" x14ac:dyDescent="0.2">
      <c r="A235" s="1" t="str">
        <f t="shared" si="9"/>
        <v>20174</v>
      </c>
      <c r="B235" s="1">
        <f t="shared" si="10"/>
        <v>2017</v>
      </c>
      <c r="C235" s="1">
        <f t="shared" si="11"/>
        <v>4</v>
      </c>
      <c r="D235" s="15">
        <v>42826</v>
      </c>
      <c r="E235" s="14">
        <v>173681.00332999992</v>
      </c>
      <c r="F235" s="14">
        <v>90696.480510000009</v>
      </c>
      <c r="G235" s="14">
        <v>44269.282610000002</v>
      </c>
    </row>
    <row r="236" spans="1:7" x14ac:dyDescent="0.2">
      <c r="A236" s="1" t="str">
        <f t="shared" si="9"/>
        <v>20175</v>
      </c>
      <c r="B236" s="1">
        <f t="shared" si="10"/>
        <v>2017</v>
      </c>
      <c r="C236" s="1">
        <f t="shared" si="11"/>
        <v>5</v>
      </c>
      <c r="D236" s="15">
        <v>42856</v>
      </c>
      <c r="E236" s="14">
        <v>197011.12099000002</v>
      </c>
      <c r="F236" s="14">
        <v>98991.662079999995</v>
      </c>
      <c r="G236" s="14">
        <v>41536.958259999999</v>
      </c>
    </row>
    <row r="237" spans="1:7" x14ac:dyDescent="0.2">
      <c r="A237" s="1" t="str">
        <f t="shared" si="9"/>
        <v>20176</v>
      </c>
      <c r="B237" s="1">
        <f t="shared" si="10"/>
        <v>2017</v>
      </c>
      <c r="C237" s="1">
        <f t="shared" si="11"/>
        <v>6</v>
      </c>
      <c r="D237" s="15">
        <v>42887</v>
      </c>
      <c r="E237" s="14">
        <v>181588.24810999987</v>
      </c>
      <c r="F237" s="14">
        <v>92144.936579999994</v>
      </c>
      <c r="G237" s="14">
        <v>41762.773110000002</v>
      </c>
    </row>
    <row r="238" spans="1:7" x14ac:dyDescent="0.2">
      <c r="A238" s="1" t="str">
        <f t="shared" si="9"/>
        <v>20177</v>
      </c>
      <c r="B238" s="1">
        <f t="shared" si="10"/>
        <v>2017</v>
      </c>
      <c r="C238" s="1">
        <f t="shared" si="11"/>
        <v>7</v>
      </c>
      <c r="D238" s="15">
        <v>42917</v>
      </c>
      <c r="E238" s="14">
        <v>258011.71118999983</v>
      </c>
      <c r="F238" s="14">
        <v>75054.79065000001</v>
      </c>
      <c r="G238" s="14">
        <v>46915.33913</v>
      </c>
    </row>
    <row r="239" spans="1:7" x14ac:dyDescent="0.2">
      <c r="A239" s="1" t="str">
        <f t="shared" si="9"/>
        <v>20178</v>
      </c>
      <c r="B239" s="1">
        <f t="shared" si="10"/>
        <v>2017</v>
      </c>
      <c r="C239" s="1">
        <f t="shared" si="11"/>
        <v>8</v>
      </c>
      <c r="D239" s="15">
        <v>42948</v>
      </c>
      <c r="E239" s="14">
        <v>159054.67240999994</v>
      </c>
      <c r="F239" s="14">
        <v>82046.603090000004</v>
      </c>
      <c r="G239" s="14">
        <v>43901.788070000002</v>
      </c>
    </row>
    <row r="240" spans="1:7" x14ac:dyDescent="0.2">
      <c r="A240" s="1" t="str">
        <f t="shared" si="9"/>
        <v>20179</v>
      </c>
      <c r="B240" s="1">
        <f t="shared" si="10"/>
        <v>2017</v>
      </c>
      <c r="C240" s="1">
        <f t="shared" si="11"/>
        <v>9</v>
      </c>
      <c r="D240" s="15">
        <v>42979</v>
      </c>
      <c r="E240" s="14">
        <v>133552.35390000002</v>
      </c>
      <c r="F240" s="14">
        <v>69632.618829999992</v>
      </c>
      <c r="G240" s="14">
        <v>46892.262119999999</v>
      </c>
    </row>
    <row r="241" spans="1:13" x14ac:dyDescent="0.2">
      <c r="A241" s="1" t="str">
        <f t="shared" si="9"/>
        <v>201710</v>
      </c>
      <c r="B241" s="1">
        <f t="shared" si="10"/>
        <v>2017</v>
      </c>
      <c r="C241" s="1">
        <f t="shared" si="11"/>
        <v>10</v>
      </c>
      <c r="D241" s="15">
        <v>43009</v>
      </c>
      <c r="E241" s="14">
        <v>151352.93576999998</v>
      </c>
      <c r="F241" s="14">
        <v>83460.612200000003</v>
      </c>
      <c r="G241" s="14">
        <v>59179.140329999995</v>
      </c>
    </row>
    <row r="242" spans="1:13" x14ac:dyDescent="0.2">
      <c r="A242" s="1" t="str">
        <f t="shared" si="9"/>
        <v>201711</v>
      </c>
      <c r="B242" s="1">
        <f t="shared" si="10"/>
        <v>2017</v>
      </c>
      <c r="C242" s="1">
        <f t="shared" si="11"/>
        <v>11</v>
      </c>
      <c r="D242" s="15">
        <v>43040</v>
      </c>
      <c r="E242" s="14">
        <v>155677.09225999995</v>
      </c>
      <c r="F242" s="14">
        <v>77868.790599999993</v>
      </c>
      <c r="G242" s="14">
        <v>48323.111680000002</v>
      </c>
    </row>
    <row r="243" spans="1:13" x14ac:dyDescent="0.2">
      <c r="A243" s="1" t="str">
        <f t="shared" si="9"/>
        <v>201712</v>
      </c>
      <c r="B243" s="1">
        <f t="shared" si="10"/>
        <v>2017</v>
      </c>
      <c r="C243" s="1">
        <f t="shared" si="11"/>
        <v>12</v>
      </c>
      <c r="D243" s="15">
        <v>43070</v>
      </c>
      <c r="E243" s="14">
        <v>322360.34753999993</v>
      </c>
      <c r="F243" s="14">
        <v>112046.273</v>
      </c>
      <c r="G243" s="14">
        <v>66671.85977000001</v>
      </c>
    </row>
    <row r="244" spans="1:13" x14ac:dyDescent="0.2">
      <c r="A244" s="1" t="str">
        <f t="shared" si="9"/>
        <v>20181</v>
      </c>
      <c r="B244" s="1">
        <f t="shared" si="10"/>
        <v>2018</v>
      </c>
      <c r="C244" s="1">
        <f t="shared" si="11"/>
        <v>1</v>
      </c>
      <c r="D244" s="15">
        <v>43101</v>
      </c>
      <c r="E244" s="14">
        <v>190351.02453</v>
      </c>
      <c r="F244" s="14">
        <v>94354.531419999999</v>
      </c>
      <c r="G244" s="14">
        <v>70246.451860000001</v>
      </c>
      <c r="J244" s="155"/>
      <c r="K244" s="14"/>
      <c r="L244" s="14"/>
      <c r="M244" s="14"/>
    </row>
    <row r="245" spans="1:13" x14ac:dyDescent="0.2">
      <c r="A245" s="1" t="str">
        <f t="shared" si="9"/>
        <v>20182</v>
      </c>
      <c r="B245" s="1">
        <f t="shared" si="10"/>
        <v>2018</v>
      </c>
      <c r="C245" s="1">
        <f t="shared" si="11"/>
        <v>2</v>
      </c>
      <c r="D245" s="15">
        <v>43132</v>
      </c>
      <c r="E245" s="14">
        <v>248848.32029999999</v>
      </c>
      <c r="F245" s="14">
        <v>132232.60631999999</v>
      </c>
      <c r="G245" s="14">
        <v>71661.961379999993</v>
      </c>
      <c r="J245" s="155"/>
      <c r="K245" s="14"/>
      <c r="L245" s="14"/>
      <c r="M245" s="14"/>
    </row>
    <row r="246" spans="1:13" x14ac:dyDescent="0.2">
      <c r="A246" s="1" t="str">
        <f t="shared" si="9"/>
        <v>20183</v>
      </c>
      <c r="B246" s="1">
        <f t="shared" si="10"/>
        <v>2018</v>
      </c>
      <c r="C246" s="1">
        <f t="shared" si="11"/>
        <v>3</v>
      </c>
      <c r="D246" s="15">
        <v>43160</v>
      </c>
      <c r="E246" s="14">
        <v>167572.20793</v>
      </c>
      <c r="F246" s="14">
        <v>85158.541209999996</v>
      </c>
      <c r="G246" s="14">
        <v>59769.498759999995</v>
      </c>
      <c r="J246" s="156"/>
      <c r="K246" s="14"/>
      <c r="L246" s="14"/>
      <c r="M246" s="14"/>
    </row>
    <row r="247" spans="1:13" x14ac:dyDescent="0.2">
      <c r="A247" s="1" t="str">
        <f t="shared" si="9"/>
        <v>20184</v>
      </c>
      <c r="B247" s="1">
        <f t="shared" si="10"/>
        <v>2018</v>
      </c>
      <c r="C247" s="1">
        <f t="shared" si="11"/>
        <v>4</v>
      </c>
      <c r="D247" s="15">
        <v>43191</v>
      </c>
      <c r="E247" s="14">
        <v>175694.0007400001</v>
      </c>
      <c r="F247" s="14">
        <v>90299.873250000004</v>
      </c>
      <c r="G247" s="14">
        <v>63811.740330000001</v>
      </c>
      <c r="J247" s="156"/>
      <c r="K247" s="14"/>
      <c r="L247" s="14"/>
      <c r="M247" s="14"/>
    </row>
    <row r="248" spans="1:13" x14ac:dyDescent="0.2">
      <c r="A248" s="1" t="str">
        <f t="shared" si="9"/>
        <v>20185</v>
      </c>
      <c r="B248" s="1">
        <f t="shared" si="10"/>
        <v>2018</v>
      </c>
      <c r="C248" s="1">
        <f t="shared" si="11"/>
        <v>5</v>
      </c>
      <c r="D248" s="15">
        <v>43221</v>
      </c>
      <c r="E248" s="14">
        <v>215619.22208999982</v>
      </c>
      <c r="F248" s="14">
        <v>110636.32594</v>
      </c>
      <c r="G248" s="14">
        <v>65034.548340000001</v>
      </c>
      <c r="J248" s="156"/>
      <c r="K248" s="14"/>
      <c r="L248" s="14"/>
      <c r="M248" s="14"/>
    </row>
    <row r="249" spans="1:13" x14ac:dyDescent="0.2">
      <c r="A249" s="1" t="str">
        <f t="shared" si="9"/>
        <v>20186</v>
      </c>
      <c r="B249" s="1">
        <f t="shared" si="10"/>
        <v>2018</v>
      </c>
      <c r="C249" s="1">
        <f t="shared" si="11"/>
        <v>6</v>
      </c>
      <c r="D249" s="15">
        <v>43252</v>
      </c>
      <c r="E249" s="14">
        <v>201917.14788999996</v>
      </c>
      <c r="F249" s="14">
        <v>109044.08959</v>
      </c>
      <c r="G249" s="14">
        <v>71416.668659999996</v>
      </c>
      <c r="J249" s="156"/>
      <c r="K249" s="14"/>
      <c r="L249" s="14"/>
      <c r="M249" s="14"/>
    </row>
    <row r="250" spans="1:13" x14ac:dyDescent="0.2">
      <c r="A250" s="1" t="str">
        <f t="shared" si="9"/>
        <v>20187</v>
      </c>
      <c r="B250" s="1">
        <f t="shared" si="10"/>
        <v>2018</v>
      </c>
      <c r="C250" s="1">
        <f t="shared" si="11"/>
        <v>7</v>
      </c>
      <c r="D250" s="15">
        <v>43282</v>
      </c>
      <c r="E250" s="14">
        <v>256465.60297999988</v>
      </c>
      <c r="F250" s="14">
        <v>70740.446110000004</v>
      </c>
      <c r="G250" s="14">
        <v>60099.491090000003</v>
      </c>
      <c r="J250" s="156"/>
      <c r="K250" s="14"/>
      <c r="L250" s="14"/>
      <c r="M250" s="14"/>
    </row>
    <row r="251" spans="1:13" x14ac:dyDescent="0.2">
      <c r="A251" s="1" t="str">
        <f t="shared" si="9"/>
        <v>20188</v>
      </c>
      <c r="B251" s="1">
        <f t="shared" si="10"/>
        <v>2018</v>
      </c>
      <c r="C251" s="1">
        <f t="shared" si="11"/>
        <v>8</v>
      </c>
      <c r="D251" s="15">
        <v>43313</v>
      </c>
      <c r="E251" s="14">
        <v>173006.38796999995</v>
      </c>
      <c r="F251" s="14">
        <v>90021.744879999998</v>
      </c>
      <c r="G251" s="14">
        <v>64998.67239</v>
      </c>
      <c r="J251" s="156"/>
      <c r="K251" s="14"/>
      <c r="L251" s="14"/>
      <c r="M251" s="14"/>
    </row>
    <row r="252" spans="1:13" x14ac:dyDescent="0.2">
      <c r="A252" s="1" t="str">
        <f t="shared" si="9"/>
        <v>20189</v>
      </c>
      <c r="B252" s="1">
        <f t="shared" si="10"/>
        <v>2018</v>
      </c>
      <c r="C252" s="1">
        <f t="shared" si="11"/>
        <v>9</v>
      </c>
      <c r="D252" s="15">
        <v>43344</v>
      </c>
      <c r="E252" s="14">
        <v>130481.54968999993</v>
      </c>
      <c r="F252" s="14">
        <v>67329.999939999994</v>
      </c>
      <c r="G252" s="14">
        <v>64989.429750000003</v>
      </c>
      <c r="J252" s="156"/>
      <c r="K252" s="14"/>
      <c r="L252" s="14"/>
      <c r="M252" s="14"/>
    </row>
    <row r="253" spans="1:13" x14ac:dyDescent="0.2">
      <c r="A253" s="1" t="str">
        <f t="shared" si="9"/>
        <v>201810</v>
      </c>
      <c r="B253" s="1">
        <f t="shared" si="10"/>
        <v>2018</v>
      </c>
      <c r="C253" s="1">
        <f t="shared" si="11"/>
        <v>10</v>
      </c>
      <c r="D253" s="15">
        <v>43374</v>
      </c>
      <c r="E253" s="14">
        <v>148226.19424000001</v>
      </c>
      <c r="F253" s="14">
        <v>74620.423250000007</v>
      </c>
      <c r="G253" s="14">
        <v>65963.739880000008</v>
      </c>
      <c r="J253" s="156"/>
      <c r="K253" s="14"/>
      <c r="L253" s="14"/>
      <c r="M253" s="14"/>
    </row>
    <row r="254" spans="1:13" x14ac:dyDescent="0.2">
      <c r="A254" s="1" t="str">
        <f t="shared" si="9"/>
        <v>201811</v>
      </c>
      <c r="B254" s="1">
        <f t="shared" si="10"/>
        <v>2018</v>
      </c>
      <c r="C254" s="1">
        <f t="shared" si="11"/>
        <v>11</v>
      </c>
      <c r="D254" s="15">
        <v>43405</v>
      </c>
      <c r="E254" s="14">
        <v>186189.72936999993</v>
      </c>
      <c r="F254" s="14">
        <v>97775.707349999997</v>
      </c>
      <c r="G254" s="14">
        <v>63329.106110000001</v>
      </c>
      <c r="J254" s="156"/>
      <c r="K254" s="14"/>
      <c r="L254" s="14"/>
      <c r="M254" s="14"/>
    </row>
    <row r="255" spans="1:13" x14ac:dyDescent="0.2">
      <c r="A255" s="1" t="str">
        <f t="shared" si="9"/>
        <v>201812</v>
      </c>
      <c r="B255" s="1">
        <f t="shared" si="10"/>
        <v>2018</v>
      </c>
      <c r="C255" s="1">
        <f t="shared" si="11"/>
        <v>12</v>
      </c>
      <c r="D255" s="15">
        <v>43435</v>
      </c>
      <c r="E255" s="14">
        <v>350294.57965999993</v>
      </c>
      <c r="F255" s="14">
        <v>131602.88417999999</v>
      </c>
      <c r="G255" s="14">
        <v>76309.312900000004</v>
      </c>
      <c r="J255" s="156"/>
      <c r="K255" s="14"/>
      <c r="L255" s="14"/>
      <c r="M255" s="14"/>
    </row>
    <row r="256" spans="1:13" x14ac:dyDescent="0.2">
      <c r="A256" s="1" t="str">
        <f t="shared" si="9"/>
        <v>20191</v>
      </c>
      <c r="B256" s="1">
        <f t="shared" si="10"/>
        <v>2019</v>
      </c>
      <c r="C256" s="1">
        <f t="shared" si="11"/>
        <v>1</v>
      </c>
      <c r="D256" s="15">
        <v>43466</v>
      </c>
      <c r="E256" s="14">
        <v>238017.03729999994</v>
      </c>
      <c r="F256" s="14">
        <v>122602.41545</v>
      </c>
      <c r="G256" s="14">
        <v>58568.522299999997</v>
      </c>
      <c r="J256" s="155"/>
      <c r="K256" s="14"/>
      <c r="L256" s="14"/>
      <c r="M256" s="14"/>
    </row>
    <row r="257" spans="1:13" x14ac:dyDescent="0.2">
      <c r="A257" s="1" t="str">
        <f t="shared" si="9"/>
        <v>20192</v>
      </c>
      <c r="B257" s="1">
        <f t="shared" si="10"/>
        <v>2019</v>
      </c>
      <c r="C257" s="1">
        <f t="shared" si="11"/>
        <v>2</v>
      </c>
      <c r="D257" s="15">
        <v>43497</v>
      </c>
      <c r="E257" s="14">
        <v>261447.46415999997</v>
      </c>
      <c r="F257" s="14">
        <v>132726.16378</v>
      </c>
      <c r="G257" s="14">
        <v>61998.188990000002</v>
      </c>
      <c r="J257" s="155"/>
      <c r="K257" s="14"/>
      <c r="L257" s="14"/>
      <c r="M257" s="14"/>
    </row>
    <row r="258" spans="1:13" x14ac:dyDescent="0.2">
      <c r="A258" s="1" t="str">
        <f t="shared" si="9"/>
        <v>20193</v>
      </c>
      <c r="B258" s="1">
        <f t="shared" si="10"/>
        <v>2019</v>
      </c>
      <c r="C258" s="1">
        <f t="shared" si="11"/>
        <v>3</v>
      </c>
      <c r="D258" s="15">
        <v>43525</v>
      </c>
      <c r="E258" s="14">
        <v>121781.92378999999</v>
      </c>
      <c r="F258" s="14">
        <v>66852.997940000001</v>
      </c>
      <c r="G258" s="14">
        <v>49859.947959999998</v>
      </c>
      <c r="J258" s="155"/>
      <c r="K258" s="14"/>
      <c r="L258" s="14"/>
      <c r="M258" s="14"/>
    </row>
    <row r="259" spans="1:13" x14ac:dyDescent="0.2">
      <c r="A259" s="1" t="str">
        <f t="shared" si="9"/>
        <v>20194</v>
      </c>
      <c r="B259" s="1">
        <f t="shared" si="10"/>
        <v>2019</v>
      </c>
      <c r="C259" s="1">
        <f t="shared" si="11"/>
        <v>4</v>
      </c>
      <c r="D259" s="15">
        <v>43556</v>
      </c>
      <c r="E259" s="14">
        <v>190982.48355000009</v>
      </c>
      <c r="F259" s="14">
        <v>94750.11748999999</v>
      </c>
      <c r="G259" s="14">
        <v>59440.278570000002</v>
      </c>
      <c r="J259" s="155"/>
      <c r="K259" s="14"/>
      <c r="L259" s="14"/>
      <c r="M259" s="14"/>
    </row>
    <row r="260" spans="1:13" x14ac:dyDescent="0.2">
      <c r="A260" s="1" t="str">
        <f t="shared" si="9"/>
        <v>20195</v>
      </c>
      <c r="B260" s="1">
        <f t="shared" si="10"/>
        <v>2019</v>
      </c>
      <c r="C260" s="1">
        <f t="shared" si="11"/>
        <v>5</v>
      </c>
      <c r="D260" s="15">
        <v>43586</v>
      </c>
      <c r="E260" s="14">
        <v>245092.73867000014</v>
      </c>
      <c r="F260" s="14">
        <v>125198.05093000001</v>
      </c>
      <c r="G260" s="14">
        <v>53405.456509999996</v>
      </c>
      <c r="J260" s="155"/>
      <c r="K260" s="14"/>
      <c r="L260" s="14"/>
      <c r="M260" s="14"/>
    </row>
    <row r="261" spans="1:13" x14ac:dyDescent="0.2">
      <c r="A261" s="1" t="str">
        <f t="shared" ref="A261:A279" si="12">CONCATENATE(B261,C261)</f>
        <v>20196</v>
      </c>
      <c r="B261" s="1">
        <f t="shared" ref="B261:B279" si="13">YEAR(D261)</f>
        <v>2019</v>
      </c>
      <c r="C261" s="1">
        <f t="shared" ref="C261:C279" si="14">MONTH(D261)</f>
        <v>6</v>
      </c>
      <c r="D261" s="15">
        <v>43617</v>
      </c>
      <c r="E261" s="14">
        <v>193059.01228000002</v>
      </c>
      <c r="F261" s="14">
        <v>95051.511969999992</v>
      </c>
      <c r="G261" s="14">
        <v>62336.005210000003</v>
      </c>
      <c r="J261" s="155"/>
      <c r="K261" s="14"/>
      <c r="L261" s="14"/>
      <c r="M261" s="14"/>
    </row>
    <row r="262" spans="1:13" x14ac:dyDescent="0.2">
      <c r="A262" s="1" t="str">
        <f t="shared" si="12"/>
        <v>20197</v>
      </c>
      <c r="B262" s="1">
        <f t="shared" si="13"/>
        <v>2019</v>
      </c>
      <c r="C262" s="1">
        <f t="shared" si="14"/>
        <v>7</v>
      </c>
      <c r="D262" s="15">
        <v>43647</v>
      </c>
      <c r="E262" s="14">
        <v>290313.28518000018</v>
      </c>
      <c r="F262" s="14">
        <v>82261.886989999999</v>
      </c>
      <c r="G262" s="14">
        <v>63104.16721</v>
      </c>
      <c r="J262" s="155"/>
      <c r="K262" s="14"/>
      <c r="L262" s="14"/>
      <c r="M262" s="14"/>
    </row>
    <row r="263" spans="1:13" x14ac:dyDescent="0.2">
      <c r="A263" s="1" t="str">
        <f t="shared" si="12"/>
        <v>20198</v>
      </c>
      <c r="B263" s="1">
        <f>YEAR(D263)</f>
        <v>2019</v>
      </c>
      <c r="C263" s="1">
        <f>MONTH(D263)</f>
        <v>8</v>
      </c>
      <c r="D263" s="15">
        <v>43678</v>
      </c>
      <c r="E263" s="14">
        <v>192707.45652999994</v>
      </c>
      <c r="F263" s="14">
        <v>103567.60802</v>
      </c>
      <c r="G263" s="14">
        <v>56478.782759999995</v>
      </c>
      <c r="J263" s="155"/>
      <c r="K263" s="14"/>
      <c r="L263" s="14"/>
      <c r="M263" s="14"/>
    </row>
    <row r="264" spans="1:13" x14ac:dyDescent="0.2">
      <c r="A264" s="1" t="str">
        <f t="shared" si="12"/>
        <v>20199</v>
      </c>
      <c r="B264" s="1">
        <f t="shared" si="13"/>
        <v>2019</v>
      </c>
      <c r="C264" s="1">
        <f t="shared" si="14"/>
        <v>9</v>
      </c>
      <c r="D264" s="15">
        <v>43709</v>
      </c>
      <c r="E264" s="14">
        <v>171538.05684</v>
      </c>
      <c r="F264" s="14">
        <v>97303.754589999997</v>
      </c>
      <c r="G264" s="14">
        <v>68849.045859999998</v>
      </c>
      <c r="J264" s="155"/>
      <c r="K264" s="14"/>
      <c r="L264" s="14"/>
      <c r="M264" s="14"/>
    </row>
    <row r="265" spans="1:13" x14ac:dyDescent="0.2">
      <c r="A265" s="1" t="str">
        <f t="shared" ref="A265:A268" si="15">CONCATENATE(B265,C265)</f>
        <v>201910</v>
      </c>
      <c r="B265" s="1">
        <f t="shared" ref="B265:B268" si="16">YEAR(D265)</f>
        <v>2019</v>
      </c>
      <c r="C265" s="1">
        <f t="shared" ref="C265:C268" si="17">MONTH(D265)</f>
        <v>10</v>
      </c>
      <c r="D265" s="15">
        <v>43739</v>
      </c>
      <c r="E265" s="14">
        <v>157923.05913000001</v>
      </c>
      <c r="F265" s="14">
        <v>78065.558739999993</v>
      </c>
      <c r="G265" s="14">
        <v>60930.620299999995</v>
      </c>
      <c r="J265" s="155"/>
      <c r="K265" s="14"/>
      <c r="L265" s="14"/>
      <c r="M265" s="14"/>
    </row>
    <row r="266" spans="1:13" ht="12.75" x14ac:dyDescent="0.2">
      <c r="A266" s="1" t="str">
        <f t="shared" si="15"/>
        <v>201911</v>
      </c>
      <c r="B266" s="1">
        <f t="shared" si="16"/>
        <v>2019</v>
      </c>
      <c r="C266" s="1">
        <f t="shared" si="17"/>
        <v>11</v>
      </c>
      <c r="D266" s="39">
        <v>43770</v>
      </c>
      <c r="E266" s="33">
        <v>214324.18693</v>
      </c>
      <c r="F266" s="33">
        <v>117428.24759</v>
      </c>
      <c r="G266" s="34">
        <v>63986.000340000006</v>
      </c>
    </row>
    <row r="267" spans="1:13" ht="12.75" x14ac:dyDescent="0.2">
      <c r="A267" s="1" t="str">
        <f t="shared" si="15"/>
        <v>201912</v>
      </c>
      <c r="B267" s="1">
        <f t="shared" si="16"/>
        <v>2019</v>
      </c>
      <c r="C267" s="1">
        <f t="shared" si="17"/>
        <v>12</v>
      </c>
      <c r="D267" s="39">
        <v>43800</v>
      </c>
      <c r="E267" s="33">
        <v>392702.32648000022</v>
      </c>
      <c r="F267" s="33">
        <v>149033.14009</v>
      </c>
      <c r="G267" s="34">
        <v>75209.634439999994</v>
      </c>
    </row>
    <row r="268" spans="1:13" x14ac:dyDescent="0.2">
      <c r="A268" s="1" t="str">
        <f t="shared" si="15"/>
        <v>19001</v>
      </c>
      <c r="B268" s="1">
        <f t="shared" si="16"/>
        <v>1900</v>
      </c>
      <c r="C268" s="1">
        <f t="shared" si="17"/>
        <v>1</v>
      </c>
      <c r="D268" s="15"/>
    </row>
    <row r="269" spans="1:13" x14ac:dyDescent="0.2">
      <c r="A269" s="1" t="str">
        <f t="shared" si="12"/>
        <v>19001</v>
      </c>
      <c r="B269" s="1">
        <f t="shared" si="13"/>
        <v>1900</v>
      </c>
      <c r="C269" s="1">
        <f t="shared" si="14"/>
        <v>1</v>
      </c>
      <c r="D269" s="15"/>
    </row>
    <row r="270" spans="1:13" x14ac:dyDescent="0.2">
      <c r="A270" s="1" t="str">
        <f t="shared" si="12"/>
        <v>19001</v>
      </c>
      <c r="B270" s="1">
        <f t="shared" si="13"/>
        <v>1900</v>
      </c>
      <c r="C270" s="1">
        <f t="shared" si="14"/>
        <v>1</v>
      </c>
      <c r="D270" s="15"/>
    </row>
    <row r="271" spans="1:13" x14ac:dyDescent="0.2">
      <c r="A271" s="1" t="str">
        <f t="shared" si="12"/>
        <v>19001</v>
      </c>
      <c r="B271" s="1">
        <f t="shared" si="13"/>
        <v>1900</v>
      </c>
      <c r="C271" s="1">
        <f t="shared" si="14"/>
        <v>1</v>
      </c>
      <c r="D271" s="15"/>
    </row>
    <row r="272" spans="1:13" x14ac:dyDescent="0.2">
      <c r="A272" s="1" t="str">
        <f t="shared" si="12"/>
        <v>19001</v>
      </c>
      <c r="B272" s="1">
        <f t="shared" si="13"/>
        <v>1900</v>
      </c>
      <c r="C272" s="1">
        <f t="shared" si="14"/>
        <v>1</v>
      </c>
      <c r="D272" s="15"/>
    </row>
    <row r="273" spans="1:4" x14ac:dyDescent="0.2">
      <c r="A273" s="1" t="str">
        <f t="shared" si="12"/>
        <v>19001</v>
      </c>
      <c r="B273" s="1">
        <f t="shared" si="13"/>
        <v>1900</v>
      </c>
      <c r="C273" s="1">
        <f t="shared" si="14"/>
        <v>1</v>
      </c>
      <c r="D273" s="15"/>
    </row>
    <row r="274" spans="1:4" x14ac:dyDescent="0.2">
      <c r="A274" s="1" t="str">
        <f t="shared" si="12"/>
        <v>19001</v>
      </c>
      <c r="B274" s="1">
        <f t="shared" si="13"/>
        <v>1900</v>
      </c>
      <c r="C274" s="1">
        <f t="shared" si="14"/>
        <v>1</v>
      </c>
      <c r="D274" s="15"/>
    </row>
    <row r="275" spans="1:4" x14ac:dyDescent="0.2">
      <c r="A275" s="1" t="str">
        <f t="shared" si="12"/>
        <v>19001</v>
      </c>
      <c r="B275" s="1">
        <f t="shared" si="13"/>
        <v>1900</v>
      </c>
      <c r="C275" s="1">
        <f t="shared" si="14"/>
        <v>1</v>
      </c>
      <c r="D275" s="15"/>
    </row>
    <row r="276" spans="1:4" x14ac:dyDescent="0.2">
      <c r="A276" s="1" t="str">
        <f t="shared" si="12"/>
        <v>19001</v>
      </c>
      <c r="B276" s="1">
        <f t="shared" si="13"/>
        <v>1900</v>
      </c>
      <c r="C276" s="1">
        <f t="shared" si="14"/>
        <v>1</v>
      </c>
      <c r="D276" s="15"/>
    </row>
    <row r="277" spans="1:4" x14ac:dyDescent="0.2">
      <c r="A277" s="1" t="str">
        <f t="shared" si="12"/>
        <v>19001</v>
      </c>
      <c r="B277" s="1">
        <f t="shared" si="13"/>
        <v>1900</v>
      </c>
      <c r="C277" s="1">
        <f t="shared" si="14"/>
        <v>1</v>
      </c>
      <c r="D277" s="15"/>
    </row>
    <row r="278" spans="1:4" x14ac:dyDescent="0.2">
      <c r="A278" s="1" t="str">
        <f t="shared" si="12"/>
        <v>19001</v>
      </c>
      <c r="B278" s="1">
        <f t="shared" si="13"/>
        <v>1900</v>
      </c>
      <c r="C278" s="1">
        <f t="shared" si="14"/>
        <v>1</v>
      </c>
      <c r="D278" s="15"/>
    </row>
    <row r="279" spans="1:4" x14ac:dyDescent="0.2">
      <c r="A279" s="1" t="str">
        <f t="shared" si="12"/>
        <v>19001</v>
      </c>
      <c r="B279" s="1">
        <f t="shared" si="13"/>
        <v>1900</v>
      </c>
      <c r="C279" s="1">
        <f t="shared" si="14"/>
        <v>1</v>
      </c>
      <c r="D279" s="15"/>
    </row>
    <row r="280" spans="1:4" x14ac:dyDescent="0.2">
      <c r="D280" s="15"/>
    </row>
    <row r="281" spans="1:4" x14ac:dyDescent="0.2">
      <c r="D281" s="15"/>
    </row>
    <row r="282" spans="1:4" x14ac:dyDescent="0.2">
      <c r="D282" s="15"/>
    </row>
    <row r="283" spans="1:4" x14ac:dyDescent="0.2">
      <c r="D283" s="15"/>
    </row>
    <row r="284" spans="1:4" x14ac:dyDescent="0.2">
      <c r="D284" s="15"/>
    </row>
    <row r="285" spans="1:4" x14ac:dyDescent="0.2">
      <c r="D285" s="15"/>
    </row>
    <row r="286" spans="1:4" x14ac:dyDescent="0.2">
      <c r="D286" s="15"/>
    </row>
    <row r="287" spans="1:4" x14ac:dyDescent="0.2">
      <c r="D287" s="15"/>
    </row>
    <row r="288" spans="1:4" x14ac:dyDescent="0.2">
      <c r="D288" s="15"/>
    </row>
    <row r="289" spans="4:4" x14ac:dyDescent="0.2">
      <c r="D289" s="15"/>
    </row>
    <row r="290" spans="4:4" x14ac:dyDescent="0.2">
      <c r="D290" s="15"/>
    </row>
    <row r="291" spans="4:4" x14ac:dyDescent="0.2">
      <c r="D291" s="15"/>
    </row>
    <row r="292" spans="4:4" x14ac:dyDescent="0.2">
      <c r="D292" s="15"/>
    </row>
    <row r="293" spans="4:4" x14ac:dyDescent="0.2">
      <c r="D293" s="15"/>
    </row>
    <row r="294" spans="4:4" x14ac:dyDescent="0.2">
      <c r="D294" s="15"/>
    </row>
    <row r="295" spans="4:4" x14ac:dyDescent="0.2">
      <c r="D295" s="15"/>
    </row>
    <row r="296" spans="4:4" x14ac:dyDescent="0.2">
      <c r="D296" s="15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9"/>
  <sheetViews>
    <sheetView topLeftCell="A253" zoomScale="85" zoomScaleNormal="85" workbookViewId="0">
      <selection activeCell="O24" sqref="O24"/>
    </sheetView>
  </sheetViews>
  <sheetFormatPr defaultRowHeight="15" x14ac:dyDescent="0.25"/>
  <cols>
    <col min="5" max="5" width="14" customWidth="1"/>
    <col min="6" max="6" width="14.140625" customWidth="1"/>
    <col min="7" max="7" width="19.85546875" customWidth="1"/>
  </cols>
  <sheetData>
    <row r="1" spans="1:11" x14ac:dyDescent="0.25">
      <c r="D1" s="16" t="s">
        <v>19</v>
      </c>
      <c r="E1" s="52"/>
      <c r="F1" s="52"/>
      <c r="G1" s="52"/>
    </row>
    <row r="2" spans="1:11" x14ac:dyDescent="0.25">
      <c r="D2" s="25"/>
      <c r="E2" s="19"/>
      <c r="F2" s="19"/>
      <c r="G2" s="19"/>
    </row>
    <row r="3" spans="1:11" x14ac:dyDescent="0.25">
      <c r="D3" s="17" t="s">
        <v>23</v>
      </c>
      <c r="E3" s="20" t="s">
        <v>16</v>
      </c>
      <c r="F3" s="20" t="s">
        <v>17</v>
      </c>
      <c r="G3" s="21" t="s">
        <v>18</v>
      </c>
    </row>
    <row r="4" spans="1:11" x14ac:dyDescent="0.25">
      <c r="A4" t="str">
        <f>dados!A4</f>
        <v>19981</v>
      </c>
      <c r="B4">
        <f>dados!B4</f>
        <v>1998</v>
      </c>
      <c r="C4">
        <f>dados!C4</f>
        <v>1</v>
      </c>
      <c r="D4" s="26">
        <f>dados!D4</f>
        <v>35796</v>
      </c>
      <c r="E4" s="53">
        <f>ABS(SUMPRODUCT(dados!E:E,-(dados!$B:$B=$B4),-(dados!$C:$C&lt;=$C4)))</f>
        <v>32577</v>
      </c>
      <c r="F4" s="53">
        <f>ABS(SUMPRODUCT(dados!F:F,-(dados!$B:$B=$B4),-(dados!$C:$C&lt;=$C4)))</f>
        <v>14895</v>
      </c>
      <c r="G4" s="53">
        <f>ABS(SUMPRODUCT(dados!G:G,-(dados!$B:$B=$B4),-(dados!$C:$C&lt;=$C4)))</f>
        <v>5405</v>
      </c>
      <c r="I4" s="22"/>
      <c r="J4" s="22"/>
      <c r="K4" s="22"/>
    </row>
    <row r="5" spans="1:11" x14ac:dyDescent="0.25">
      <c r="A5" t="str">
        <f>dados!A5</f>
        <v>19982</v>
      </c>
      <c r="B5">
        <f>dados!B5</f>
        <v>1998</v>
      </c>
      <c r="C5">
        <f>dados!C5</f>
        <v>2</v>
      </c>
      <c r="D5" s="26">
        <f>dados!D5</f>
        <v>35827</v>
      </c>
      <c r="E5" s="53">
        <f>ABS(SUMPRODUCT(dados!E:E,-(dados!$B:$B=$B5),-(dados!$C:$C&lt;=$C5)))</f>
        <v>62699</v>
      </c>
      <c r="F5" s="53">
        <f>ABS(SUMPRODUCT(dados!F:F,-(dados!$B:$B=$B5),-(dados!$C:$C&lt;=$C5)))</f>
        <v>27146</v>
      </c>
      <c r="G5" s="53">
        <f>ABS(SUMPRODUCT(dados!G:G,-(dados!$B:$B=$B5),-(dados!$C:$C&lt;=$C5)))</f>
        <v>11401</v>
      </c>
      <c r="I5" s="22"/>
      <c r="J5" s="22"/>
      <c r="K5" s="22"/>
    </row>
    <row r="6" spans="1:11" x14ac:dyDescent="0.25">
      <c r="A6" t="str">
        <f>dados!A6</f>
        <v>19983</v>
      </c>
      <c r="B6">
        <f>dados!B6</f>
        <v>1998</v>
      </c>
      <c r="C6">
        <f>dados!C6</f>
        <v>3</v>
      </c>
      <c r="D6" s="26">
        <f>dados!D6</f>
        <v>35855</v>
      </c>
      <c r="E6" s="53">
        <f>ABS(SUMPRODUCT(dados!E:E,-(dados!$B:$B=$B6),-(dados!$C:$C&lt;=$C6)))</f>
        <v>88215</v>
      </c>
      <c r="F6" s="53">
        <f>ABS(SUMPRODUCT(dados!F:F,-(dados!$B:$B=$B6),-(dados!$C:$C&lt;=$C6)))</f>
        <v>38603</v>
      </c>
      <c r="G6" s="53">
        <f>ABS(SUMPRODUCT(dados!G:G,-(dados!$B:$B=$B6),-(dados!$C:$C&lt;=$C6)))</f>
        <v>16823</v>
      </c>
      <c r="I6" s="22"/>
      <c r="J6" s="22"/>
      <c r="K6" s="22"/>
    </row>
    <row r="7" spans="1:11" x14ac:dyDescent="0.25">
      <c r="A7" t="str">
        <f>dados!A7</f>
        <v>19984</v>
      </c>
      <c r="B7">
        <f>dados!B7</f>
        <v>1998</v>
      </c>
      <c r="C7">
        <f>dados!C7</f>
        <v>4</v>
      </c>
      <c r="D7" s="26">
        <f>dados!D7</f>
        <v>35886</v>
      </c>
      <c r="E7" s="53">
        <f>ABS(SUMPRODUCT(dados!E:E,-(dados!$B:$B=$B7),-(dados!$C:$C&lt;=$C7)))</f>
        <v>120065</v>
      </c>
      <c r="F7" s="53">
        <f>ABS(SUMPRODUCT(dados!F:F,-(dados!$B:$B=$B7),-(dados!$C:$C&lt;=$C7)))</f>
        <v>52250</v>
      </c>
      <c r="G7" s="53">
        <f>ABS(SUMPRODUCT(dados!G:G,-(dados!$B:$B=$B7),-(dados!$C:$C&lt;=$C7)))</f>
        <v>23055</v>
      </c>
      <c r="I7" s="22"/>
      <c r="J7" s="22"/>
      <c r="K7" s="22"/>
    </row>
    <row r="8" spans="1:11" x14ac:dyDescent="0.25">
      <c r="A8" t="str">
        <f>dados!A8</f>
        <v>19985</v>
      </c>
      <c r="B8">
        <f>dados!B8</f>
        <v>1998</v>
      </c>
      <c r="C8">
        <f>dados!C8</f>
        <v>5</v>
      </c>
      <c r="D8" s="26">
        <f>dados!D8</f>
        <v>35916</v>
      </c>
      <c r="E8" s="53">
        <f>ABS(SUMPRODUCT(dados!E:E,-(dados!$B:$B=$B8),-(dados!$C:$C&lt;=$C8)))</f>
        <v>149018</v>
      </c>
      <c r="F8" s="53">
        <f>ABS(SUMPRODUCT(dados!F:F,-(dados!$B:$B=$B8),-(dados!$C:$C&lt;=$C8)))</f>
        <v>65231</v>
      </c>
      <c r="G8" s="53">
        <f>ABS(SUMPRODUCT(dados!G:G,-(dados!$B:$B=$B8),-(dados!$C:$C&lt;=$C8)))</f>
        <v>28820</v>
      </c>
      <c r="I8" s="22"/>
      <c r="J8" s="22"/>
      <c r="K8" s="22"/>
    </row>
    <row r="9" spans="1:11" x14ac:dyDescent="0.25">
      <c r="A9" t="str">
        <f>dados!A9</f>
        <v>19986</v>
      </c>
      <c r="B9">
        <f>dados!B9</f>
        <v>1998</v>
      </c>
      <c r="C9">
        <f>dados!C9</f>
        <v>6</v>
      </c>
      <c r="D9" s="26">
        <f>dados!D9</f>
        <v>35947</v>
      </c>
      <c r="E9" s="53">
        <f>ABS(SUMPRODUCT(dados!E:E,-(dados!$B:$B=$B9),-(dados!$C:$C&lt;=$C9)))</f>
        <v>169260</v>
      </c>
      <c r="F9" s="53">
        <f>ABS(SUMPRODUCT(dados!F:F,-(dados!$B:$B=$B9),-(dados!$C:$C&lt;=$C9)))</f>
        <v>74429</v>
      </c>
      <c r="G9" s="53">
        <f>ABS(SUMPRODUCT(dados!G:G,-(dados!$B:$B=$B9),-(dados!$C:$C&lt;=$C9)))</f>
        <v>35184</v>
      </c>
      <c r="I9" s="22"/>
      <c r="J9" s="22"/>
      <c r="K9" s="22"/>
    </row>
    <row r="10" spans="1:11" x14ac:dyDescent="0.25">
      <c r="A10" t="str">
        <f>dados!A10</f>
        <v>19987</v>
      </c>
      <c r="B10">
        <f>dados!B10</f>
        <v>1998</v>
      </c>
      <c r="C10">
        <f>dados!C10</f>
        <v>7</v>
      </c>
      <c r="D10" s="26">
        <f>dados!D10</f>
        <v>35977</v>
      </c>
      <c r="E10" s="53">
        <f>ABS(SUMPRODUCT(dados!E:E,-(dados!$B:$B=$B10),-(dados!$C:$C&lt;=$C10)))</f>
        <v>190693</v>
      </c>
      <c r="F10" s="53">
        <f>ABS(SUMPRODUCT(dados!F:F,-(dados!$B:$B=$B10),-(dados!$C:$C&lt;=$C10)))</f>
        <v>84112</v>
      </c>
      <c r="G10" s="53">
        <f>ABS(SUMPRODUCT(dados!G:G,-(dados!$B:$B=$B10),-(dados!$C:$C&lt;=$C10)))</f>
        <v>40857</v>
      </c>
      <c r="I10" s="22"/>
      <c r="J10" s="22"/>
      <c r="K10" s="22"/>
    </row>
    <row r="11" spans="1:11" x14ac:dyDescent="0.25">
      <c r="A11" t="str">
        <f>dados!A11</f>
        <v>19988</v>
      </c>
      <c r="B11">
        <f>dados!B11</f>
        <v>1998</v>
      </c>
      <c r="C11">
        <f>dados!C11</f>
        <v>8</v>
      </c>
      <c r="D11" s="26">
        <f>dados!D11</f>
        <v>36008</v>
      </c>
      <c r="E11" s="53">
        <f>ABS(SUMPRODUCT(dados!E:E,-(dados!$B:$B=$B11),-(dados!$C:$C&lt;=$C11)))</f>
        <v>218917</v>
      </c>
      <c r="F11" s="53">
        <f>ABS(SUMPRODUCT(dados!F:F,-(dados!$B:$B=$B11),-(dados!$C:$C&lt;=$C11)))</f>
        <v>96753</v>
      </c>
      <c r="G11" s="53">
        <f>ABS(SUMPRODUCT(dados!G:G,-(dados!$B:$B=$B11),-(dados!$C:$C&lt;=$C11)))</f>
        <v>46231</v>
      </c>
      <c r="I11" s="22"/>
      <c r="J11" s="22"/>
      <c r="K11" s="22"/>
    </row>
    <row r="12" spans="1:11" x14ac:dyDescent="0.25">
      <c r="A12" t="str">
        <f>dados!A12</f>
        <v>19989</v>
      </c>
      <c r="B12">
        <f>dados!B12</f>
        <v>1998</v>
      </c>
      <c r="C12">
        <f>dados!C12</f>
        <v>9</v>
      </c>
      <c r="D12" s="26">
        <f>dados!D12</f>
        <v>36039</v>
      </c>
      <c r="E12" s="53">
        <f>ABS(SUMPRODUCT(dados!E:E,-(dados!$B:$B=$B12),-(dados!$C:$C&lt;=$C12)))</f>
        <v>246179</v>
      </c>
      <c r="F12" s="53">
        <f>ABS(SUMPRODUCT(dados!F:F,-(dados!$B:$B=$B12),-(dados!$C:$C&lt;=$C12)))</f>
        <v>108987</v>
      </c>
      <c r="G12" s="53">
        <f>ABS(SUMPRODUCT(dados!G:G,-(dados!$B:$B=$B12),-(dados!$C:$C&lt;=$C12)))</f>
        <v>51856</v>
      </c>
      <c r="I12" s="22"/>
      <c r="J12" s="22"/>
      <c r="K12" s="22"/>
    </row>
    <row r="13" spans="1:11" x14ac:dyDescent="0.25">
      <c r="A13" t="str">
        <f>dados!A13</f>
        <v>199810</v>
      </c>
      <c r="B13">
        <f>dados!B13</f>
        <v>1998</v>
      </c>
      <c r="C13">
        <f>dados!C13</f>
        <v>10</v>
      </c>
      <c r="D13" s="26">
        <f>dados!D13</f>
        <v>36069</v>
      </c>
      <c r="E13" s="53">
        <f>ABS(SUMPRODUCT(dados!E:E,-(dados!$B:$B=$B13),-(dados!$C:$C&lt;=$C13)))</f>
        <v>269294</v>
      </c>
      <c r="F13" s="53">
        <f>ABS(SUMPRODUCT(dados!F:F,-(dados!$B:$B=$B13),-(dados!$C:$C&lt;=$C13)))</f>
        <v>119396</v>
      </c>
      <c r="G13" s="53">
        <f>ABS(SUMPRODUCT(dados!G:G,-(dados!$B:$B=$B13),-(dados!$C:$C&lt;=$C13)))</f>
        <v>57323</v>
      </c>
      <c r="I13" s="22"/>
      <c r="J13" s="22"/>
      <c r="K13" s="22"/>
    </row>
    <row r="14" spans="1:11" x14ac:dyDescent="0.25">
      <c r="A14" t="str">
        <f>dados!A14</f>
        <v>199811</v>
      </c>
      <c r="B14">
        <f>dados!B14</f>
        <v>1998</v>
      </c>
      <c r="C14">
        <f>dados!C14</f>
        <v>11</v>
      </c>
      <c r="D14" s="26">
        <f>dados!D14</f>
        <v>36100</v>
      </c>
      <c r="E14" s="53">
        <f>ABS(SUMPRODUCT(dados!E:E,-(dados!$B:$B=$B14),-(dados!$C:$C&lt;=$C14)))</f>
        <v>294212</v>
      </c>
      <c r="F14" s="53">
        <f>ABS(SUMPRODUCT(dados!F:F,-(dados!$B:$B=$B14),-(dados!$C:$C&lt;=$C14)))</f>
        <v>130592</v>
      </c>
      <c r="G14" s="53">
        <f>ABS(SUMPRODUCT(dados!G:G,-(dados!$B:$B=$B14),-(dados!$C:$C&lt;=$C14)))</f>
        <v>62756</v>
      </c>
      <c r="I14" s="22"/>
      <c r="J14" s="22"/>
      <c r="K14" s="22"/>
    </row>
    <row r="15" spans="1:11" x14ac:dyDescent="0.25">
      <c r="A15" t="str">
        <f>dados!A15</f>
        <v>199812</v>
      </c>
      <c r="B15">
        <f>dados!B15</f>
        <v>1998</v>
      </c>
      <c r="C15">
        <f>dados!C15</f>
        <v>12</v>
      </c>
      <c r="D15" s="26">
        <f>dados!D15</f>
        <v>36130</v>
      </c>
      <c r="E15" s="53">
        <f>ABS(SUMPRODUCT(dados!E:E,-(dados!$B:$B=$B15),-(dados!$C:$C&lt;=$C15)))</f>
        <v>319141</v>
      </c>
      <c r="F15" s="53">
        <f>ABS(SUMPRODUCT(dados!F:F,-(dados!$B:$B=$B15),-(dados!$C:$C&lt;=$C15)))</f>
        <v>141806</v>
      </c>
      <c r="G15" s="53">
        <f>ABS(SUMPRODUCT(dados!G:G,-(dados!$B:$B=$B15),-(dados!$C:$C&lt;=$C15)))</f>
        <v>68442</v>
      </c>
      <c r="I15" s="22"/>
      <c r="J15" s="22"/>
      <c r="K15" s="22"/>
    </row>
    <row r="16" spans="1:11" x14ac:dyDescent="0.25">
      <c r="A16" t="str">
        <f>dados!A16</f>
        <v>19991</v>
      </c>
      <c r="B16">
        <f>dados!B16</f>
        <v>1999</v>
      </c>
      <c r="C16">
        <f>dados!C16</f>
        <v>1</v>
      </c>
      <c r="D16" s="26">
        <f>dados!D16</f>
        <v>36161</v>
      </c>
      <c r="E16" s="53">
        <f>ABS(SUMPRODUCT(dados!E:E,-(dados!$B:$B=$B16),-(dados!$C:$C&lt;=$C16)))</f>
        <v>32655.58</v>
      </c>
      <c r="F16" s="53">
        <f>ABS(SUMPRODUCT(dados!F:F,-(dados!$B:$B=$B16),-(dados!$C:$C&lt;=$C16)))</f>
        <v>14532.43</v>
      </c>
      <c r="G16" s="53">
        <f>ABS(SUMPRODUCT(dados!G:G,-(dados!$B:$B=$B16),-(dados!$C:$C&lt;=$C16)))</f>
        <v>5297.09</v>
      </c>
      <c r="I16" s="22"/>
      <c r="J16" s="22"/>
      <c r="K16" s="22"/>
    </row>
    <row r="17" spans="1:11" x14ac:dyDescent="0.25">
      <c r="A17" t="str">
        <f>dados!A17</f>
        <v>19992</v>
      </c>
      <c r="B17">
        <f>dados!B17</f>
        <v>1999</v>
      </c>
      <c r="C17">
        <f>dados!C17</f>
        <v>2</v>
      </c>
      <c r="D17" s="26">
        <f>dados!D17</f>
        <v>36192</v>
      </c>
      <c r="E17" s="53">
        <f>ABS(SUMPRODUCT(dados!E:E,-(dados!$B:$B=$B17),-(dados!$C:$C&lt;=$C17)))</f>
        <v>66063.75</v>
      </c>
      <c r="F17" s="53">
        <f>ABS(SUMPRODUCT(dados!F:F,-(dados!$B:$B=$B17),-(dados!$C:$C&lt;=$C17)))</f>
        <v>29286.760000000002</v>
      </c>
      <c r="G17" s="53">
        <f>ABS(SUMPRODUCT(dados!G:G,-(dados!$B:$B=$B17),-(dados!$C:$C&lt;=$C17)))</f>
        <v>11525.67</v>
      </c>
    </row>
    <row r="18" spans="1:11" x14ac:dyDescent="0.25">
      <c r="A18" t="str">
        <f>dados!A18</f>
        <v>19993</v>
      </c>
      <c r="B18">
        <f>dados!B18</f>
        <v>1999</v>
      </c>
      <c r="C18">
        <f>dados!C18</f>
        <v>3</v>
      </c>
      <c r="D18" s="26">
        <f>dados!D18</f>
        <v>36220</v>
      </c>
      <c r="E18" s="53">
        <f>ABS(SUMPRODUCT(dados!E:E,-(dados!$B:$B=$B18),-(dados!$C:$C&lt;=$C18)))</f>
        <v>100393.70999999999</v>
      </c>
      <c r="F18" s="53">
        <f>ABS(SUMPRODUCT(dados!F:F,-(dados!$B:$B=$B18),-(dados!$C:$C&lt;=$C18)))</f>
        <v>44371.210000000006</v>
      </c>
      <c r="G18" s="53">
        <f>ABS(SUMPRODUCT(dados!G:G,-(dados!$B:$B=$B18),-(dados!$C:$C&lt;=$C18)))</f>
        <v>16773.34</v>
      </c>
      <c r="I18" s="22"/>
      <c r="J18" s="22"/>
      <c r="K18" s="22"/>
    </row>
    <row r="19" spans="1:11" x14ac:dyDescent="0.25">
      <c r="A19" t="str">
        <f>dados!A19</f>
        <v>19994</v>
      </c>
      <c r="B19">
        <f>dados!B19</f>
        <v>1999</v>
      </c>
      <c r="C19">
        <f>dados!C19</f>
        <v>4</v>
      </c>
      <c r="D19" s="26">
        <f>dados!D19</f>
        <v>36251</v>
      </c>
      <c r="E19" s="53">
        <f>ABS(SUMPRODUCT(dados!E:E,-(dados!$B:$B=$B19),-(dados!$C:$C&lt;=$C19)))</f>
        <v>131436.79999999999</v>
      </c>
      <c r="F19" s="53">
        <f>ABS(SUMPRODUCT(dados!F:F,-(dados!$B:$B=$B19),-(dados!$C:$C&lt;=$C19)))</f>
        <v>58065.830000000009</v>
      </c>
      <c r="G19" s="53">
        <f>ABS(SUMPRODUCT(dados!G:G,-(dados!$B:$B=$B19),-(dados!$C:$C&lt;=$C19)))</f>
        <v>22322.690000000002</v>
      </c>
      <c r="I19" s="22"/>
      <c r="J19" s="22"/>
      <c r="K19" s="22"/>
    </row>
    <row r="20" spans="1:11" x14ac:dyDescent="0.25">
      <c r="A20" t="str">
        <f>dados!A20</f>
        <v>19995</v>
      </c>
      <c r="B20">
        <f>dados!B20</f>
        <v>1999</v>
      </c>
      <c r="C20">
        <f>dados!C20</f>
        <v>5</v>
      </c>
      <c r="D20" s="26">
        <f>dados!D20</f>
        <v>36281</v>
      </c>
      <c r="E20" s="53">
        <f>ABS(SUMPRODUCT(dados!E:E,-(dados!$B:$B=$B20),-(dados!$C:$C&lt;=$C20)))</f>
        <v>165053.76999999999</v>
      </c>
      <c r="F20" s="53">
        <f>ABS(SUMPRODUCT(dados!F:F,-(dados!$B:$B=$B20),-(dados!$C:$C&lt;=$C20)))</f>
        <v>72855.02</v>
      </c>
      <c r="G20" s="53">
        <f>ABS(SUMPRODUCT(dados!G:G,-(dados!$B:$B=$B20),-(dados!$C:$C&lt;=$C20)))</f>
        <v>27719.730000000003</v>
      </c>
      <c r="I20" s="22"/>
      <c r="J20" s="22"/>
      <c r="K20" s="22"/>
    </row>
    <row r="21" spans="1:11" x14ac:dyDescent="0.25">
      <c r="A21" t="str">
        <f>dados!A21</f>
        <v>19996</v>
      </c>
      <c r="B21">
        <f>dados!B21</f>
        <v>1999</v>
      </c>
      <c r="C21">
        <f>dados!C21</f>
        <v>6</v>
      </c>
      <c r="D21" s="26">
        <f>dados!D21</f>
        <v>36312</v>
      </c>
      <c r="E21" s="53">
        <f>ABS(SUMPRODUCT(dados!E:E,-(dados!$B:$B=$B21),-(dados!$C:$C&lt;=$C21)))</f>
        <v>187211.86</v>
      </c>
      <c r="F21" s="53">
        <f>ABS(SUMPRODUCT(dados!F:F,-(dados!$B:$B=$B21),-(dados!$C:$C&lt;=$C21)))</f>
        <v>82734.720000000001</v>
      </c>
      <c r="G21" s="53">
        <f>ABS(SUMPRODUCT(dados!G:G,-(dados!$B:$B=$B21),-(dados!$C:$C&lt;=$C21)))</f>
        <v>33245.660000000003</v>
      </c>
      <c r="I21" s="22"/>
      <c r="J21" s="22"/>
      <c r="K21" s="22"/>
    </row>
    <row r="22" spans="1:11" x14ac:dyDescent="0.25">
      <c r="A22" t="str">
        <f>dados!A22</f>
        <v>19997</v>
      </c>
      <c r="B22">
        <f>dados!B22</f>
        <v>1999</v>
      </c>
      <c r="C22">
        <f>dados!C22</f>
        <v>7</v>
      </c>
      <c r="D22" s="26">
        <f>dados!D22</f>
        <v>36342</v>
      </c>
      <c r="E22" s="53">
        <f>ABS(SUMPRODUCT(dados!E:E,-(dados!$B:$B=$B22),-(dados!$C:$C&lt;=$C22)))</f>
        <v>209287.16999999998</v>
      </c>
      <c r="F22" s="53">
        <f>ABS(SUMPRODUCT(dados!F:F,-(dados!$B:$B=$B22),-(dados!$C:$C&lt;=$C22)))</f>
        <v>92561.23</v>
      </c>
      <c r="G22" s="53">
        <f>ABS(SUMPRODUCT(dados!G:G,-(dados!$B:$B=$B22),-(dados!$C:$C&lt;=$C22)))</f>
        <v>38504.94</v>
      </c>
    </row>
    <row r="23" spans="1:11" x14ac:dyDescent="0.25">
      <c r="A23" t="str">
        <f>dados!A23</f>
        <v>19998</v>
      </c>
      <c r="B23">
        <f>dados!B23</f>
        <v>1999</v>
      </c>
      <c r="C23">
        <f>dados!C23</f>
        <v>8</v>
      </c>
      <c r="D23" s="26">
        <f>dados!D23</f>
        <v>36373</v>
      </c>
      <c r="E23" s="53">
        <f>ABS(SUMPRODUCT(dados!E:E,-(dados!$B:$B=$B23),-(dados!$C:$C&lt;=$C23)))</f>
        <v>236912.75</v>
      </c>
      <c r="F23" s="53">
        <f>ABS(SUMPRODUCT(dados!F:F,-(dados!$B:$B=$B23),-(dados!$C:$C&lt;=$C23)))</f>
        <v>104817.86</v>
      </c>
      <c r="G23" s="53">
        <f>ABS(SUMPRODUCT(dados!G:G,-(dados!$B:$B=$B23),-(dados!$C:$C&lt;=$C23)))</f>
        <v>44478.700000000004</v>
      </c>
    </row>
    <row r="24" spans="1:11" x14ac:dyDescent="0.25">
      <c r="A24" t="str">
        <f>dados!A24</f>
        <v>19999</v>
      </c>
      <c r="B24">
        <f>dados!B24</f>
        <v>1999</v>
      </c>
      <c r="C24">
        <f>dados!C24</f>
        <v>9</v>
      </c>
      <c r="D24" s="26">
        <f>dados!D24</f>
        <v>36404</v>
      </c>
      <c r="E24" s="53">
        <f>ABS(SUMPRODUCT(dados!E:E,-(dados!$B:$B=$B24),-(dados!$C:$C&lt;=$C24)))</f>
        <v>262698.57</v>
      </c>
      <c r="F24" s="53">
        <f>ABS(SUMPRODUCT(dados!F:F,-(dados!$B:$B=$B24),-(dados!$C:$C&lt;=$C24)))</f>
        <v>116254.88</v>
      </c>
      <c r="G24" s="53">
        <f>ABS(SUMPRODUCT(dados!G:G,-(dados!$B:$B=$B24),-(dados!$C:$C&lt;=$C24)))</f>
        <v>49984.51</v>
      </c>
    </row>
    <row r="25" spans="1:11" x14ac:dyDescent="0.25">
      <c r="A25" t="str">
        <f>dados!A25</f>
        <v>199910</v>
      </c>
      <c r="B25">
        <f>dados!B25</f>
        <v>1999</v>
      </c>
      <c r="C25">
        <f>dados!C25</f>
        <v>10</v>
      </c>
      <c r="D25" s="26">
        <f>dados!D25</f>
        <v>36434</v>
      </c>
      <c r="E25" s="53">
        <f>ABS(SUMPRODUCT(dados!E:E,-(dados!$B:$B=$B25),-(dados!$C:$C&lt;=$C25)))</f>
        <v>293434.56</v>
      </c>
      <c r="F25" s="53">
        <f>ABS(SUMPRODUCT(dados!F:F,-(dados!$B:$B=$B25),-(dados!$C:$C&lt;=$C25)))</f>
        <v>129880</v>
      </c>
      <c r="G25" s="53">
        <f>ABS(SUMPRODUCT(dados!G:G,-(dados!$B:$B=$B25),-(dados!$C:$C&lt;=$C25)))</f>
        <v>56421.65</v>
      </c>
    </row>
    <row r="26" spans="1:11" x14ac:dyDescent="0.25">
      <c r="A26" t="str">
        <f>dados!A26</f>
        <v>199911</v>
      </c>
      <c r="B26">
        <f>dados!B26</f>
        <v>1999</v>
      </c>
      <c r="C26">
        <f>dados!C26</f>
        <v>11</v>
      </c>
      <c r="D26" s="26">
        <f>dados!D26</f>
        <v>36465</v>
      </c>
      <c r="E26" s="53">
        <f>ABS(SUMPRODUCT(dados!E:E,-(dados!$B:$B=$B26),-(dados!$C:$C&lt;=$C26)))</f>
        <v>322536.21999999997</v>
      </c>
      <c r="F26" s="53">
        <f>ABS(SUMPRODUCT(dados!F:F,-(dados!$B:$B=$B26),-(dados!$C:$C&lt;=$C26)))</f>
        <v>142826.37</v>
      </c>
      <c r="G26" s="53">
        <f>ABS(SUMPRODUCT(dados!G:G,-(dados!$B:$B=$B26),-(dados!$C:$C&lt;=$C26)))</f>
        <v>63242.19</v>
      </c>
    </row>
    <row r="27" spans="1:11" x14ac:dyDescent="0.25">
      <c r="A27" t="str">
        <f>dados!A27</f>
        <v>199912</v>
      </c>
      <c r="B27">
        <f>dados!B27</f>
        <v>1999</v>
      </c>
      <c r="C27">
        <f>dados!C27</f>
        <v>12</v>
      </c>
      <c r="D27" s="26">
        <f>dados!D27</f>
        <v>36495</v>
      </c>
      <c r="E27" s="53">
        <f>ABS(SUMPRODUCT(dados!E:E,-(dados!$B:$B=$B27),-(dados!$C:$C&lt;=$C27)))</f>
        <v>354581.76999999996</v>
      </c>
      <c r="F27" s="53">
        <f>ABS(SUMPRODUCT(dados!F:F,-(dados!$B:$B=$B27),-(dados!$C:$C&lt;=$C27)))</f>
        <v>157054.99</v>
      </c>
      <c r="G27" s="53">
        <f>ABS(SUMPRODUCT(dados!G:G,-(dados!$B:$B=$B27),-(dados!$C:$C&lt;=$C27)))</f>
        <v>70345.34</v>
      </c>
    </row>
    <row r="28" spans="1:11" x14ac:dyDescent="0.25">
      <c r="A28" t="str">
        <f>dados!A28</f>
        <v>20001</v>
      </c>
      <c r="B28">
        <f>dados!B28</f>
        <v>2000</v>
      </c>
      <c r="C28">
        <f>dados!C28</f>
        <v>1</v>
      </c>
      <c r="D28" s="26">
        <f>dados!D28</f>
        <v>36526</v>
      </c>
      <c r="E28" s="53">
        <f>ABS(SUMPRODUCT(dados!E:E,-(dados!$B:$B=$B28),-(dados!$C:$C&lt;=$C28)))</f>
        <v>34784.78</v>
      </c>
      <c r="F28" s="53">
        <f>ABS(SUMPRODUCT(dados!F:F,-(dados!$B:$B=$B28),-(dados!$C:$C&lt;=$C28)))</f>
        <v>16063.91</v>
      </c>
      <c r="G28" s="53">
        <f>ABS(SUMPRODUCT(dados!G:G,-(dados!$B:$B=$B28),-(dados!$C:$C&lt;=$C28)))</f>
        <v>5713.09</v>
      </c>
    </row>
    <row r="29" spans="1:11" x14ac:dyDescent="0.25">
      <c r="A29" t="str">
        <f>dados!A29</f>
        <v>20002</v>
      </c>
      <c r="B29">
        <f>dados!B29</f>
        <v>2000</v>
      </c>
      <c r="C29">
        <f>dados!C29</f>
        <v>2</v>
      </c>
      <c r="D29" s="26">
        <f>dados!D29</f>
        <v>36557</v>
      </c>
      <c r="E29" s="53">
        <f>ABS(SUMPRODUCT(dados!E:E,-(dados!$B:$B=$B29),-(dados!$C:$C&lt;=$C29)))</f>
        <v>66407.289999999994</v>
      </c>
      <c r="F29" s="53">
        <f>ABS(SUMPRODUCT(dados!F:F,-(dados!$B:$B=$B29),-(dados!$C:$C&lt;=$C29)))</f>
        <v>31301.54</v>
      </c>
      <c r="G29" s="53">
        <f>ABS(SUMPRODUCT(dados!G:G,-(dados!$B:$B=$B29),-(dados!$C:$C&lt;=$C29)))</f>
        <v>12400.7</v>
      </c>
    </row>
    <row r="30" spans="1:11" x14ac:dyDescent="0.25">
      <c r="A30" t="str">
        <f>dados!A30</f>
        <v>20003</v>
      </c>
      <c r="B30">
        <f>dados!B30</f>
        <v>2000</v>
      </c>
      <c r="C30">
        <f>dados!C30</f>
        <v>3</v>
      </c>
      <c r="D30" s="26">
        <f>dados!D30</f>
        <v>36586</v>
      </c>
      <c r="E30" s="53">
        <f>ABS(SUMPRODUCT(dados!E:E,-(dados!$B:$B=$B30),-(dados!$C:$C&lt;=$C30)))</f>
        <v>100855.35999999999</v>
      </c>
      <c r="F30" s="53">
        <f>ABS(SUMPRODUCT(dados!F:F,-(dados!$B:$B=$B30),-(dados!$C:$C&lt;=$C30)))</f>
        <v>47900.7</v>
      </c>
      <c r="G30" s="53">
        <f>ABS(SUMPRODUCT(dados!G:G,-(dados!$B:$B=$B30),-(dados!$C:$C&lt;=$C30)))</f>
        <v>18057.830000000002</v>
      </c>
    </row>
    <row r="31" spans="1:11" x14ac:dyDescent="0.25">
      <c r="A31" t="str">
        <f>dados!A31</f>
        <v>20004</v>
      </c>
      <c r="B31">
        <f>dados!B31</f>
        <v>2000</v>
      </c>
      <c r="C31">
        <f>dados!C31</f>
        <v>4</v>
      </c>
      <c r="D31" s="26">
        <f>dados!D31</f>
        <v>36617</v>
      </c>
      <c r="E31" s="53">
        <f>ABS(SUMPRODUCT(dados!E:E,-(dados!$B:$B=$B31),-(dados!$C:$C&lt;=$C31)))</f>
        <v>136585.35999999999</v>
      </c>
      <c r="F31" s="53">
        <f>ABS(SUMPRODUCT(dados!F:F,-(dados!$B:$B=$B31),-(dados!$C:$C&lt;=$C31)))</f>
        <v>65117.58</v>
      </c>
      <c r="G31" s="53">
        <f>ABS(SUMPRODUCT(dados!G:G,-(dados!$B:$B=$B31),-(dados!$C:$C&lt;=$C31)))</f>
        <v>25013.61</v>
      </c>
    </row>
    <row r="32" spans="1:11" x14ac:dyDescent="0.25">
      <c r="A32" t="str">
        <f>dados!A32</f>
        <v>20005</v>
      </c>
      <c r="B32">
        <f>dados!B32</f>
        <v>2000</v>
      </c>
      <c r="C32">
        <f>dados!C32</f>
        <v>5</v>
      </c>
      <c r="D32" s="26">
        <f>dados!D32</f>
        <v>36647</v>
      </c>
      <c r="E32" s="53">
        <f>ABS(SUMPRODUCT(dados!E:E,-(dados!$B:$B=$B32),-(dados!$C:$C&lt;=$C32)))</f>
        <v>170760.36</v>
      </c>
      <c r="F32" s="53">
        <f>ABS(SUMPRODUCT(dados!F:F,-(dados!$B:$B=$B32),-(dados!$C:$C&lt;=$C32)))</f>
        <v>81585.260000000009</v>
      </c>
      <c r="G32" s="53">
        <f>ABS(SUMPRODUCT(dados!G:G,-(dados!$B:$B=$B32),-(dados!$C:$C&lt;=$C32)))</f>
        <v>31518.940000000002</v>
      </c>
    </row>
    <row r="33" spans="1:7" x14ac:dyDescent="0.25">
      <c r="A33" t="str">
        <f>dados!A33</f>
        <v>20006</v>
      </c>
      <c r="B33">
        <f>dados!B33</f>
        <v>2000</v>
      </c>
      <c r="C33">
        <f>dados!C33</f>
        <v>6</v>
      </c>
      <c r="D33" s="26">
        <f>dados!D33</f>
        <v>36678</v>
      </c>
      <c r="E33" s="53">
        <f>ABS(SUMPRODUCT(dados!E:E,-(dados!$B:$B=$B33),-(dados!$C:$C&lt;=$C33)))</f>
        <v>198481.36</v>
      </c>
      <c r="F33" s="53">
        <f>ABS(SUMPRODUCT(dados!F:F,-(dados!$B:$B=$B33),-(dados!$C:$C&lt;=$C33)))</f>
        <v>94942.260000000009</v>
      </c>
      <c r="G33" s="53">
        <f>ABS(SUMPRODUCT(dados!G:G,-(dados!$B:$B=$B33),-(dados!$C:$C&lt;=$C33)))</f>
        <v>38486.94</v>
      </c>
    </row>
    <row r="34" spans="1:7" x14ac:dyDescent="0.25">
      <c r="A34" t="str">
        <f>dados!A34</f>
        <v>20007</v>
      </c>
      <c r="B34">
        <f>dados!B34</f>
        <v>2000</v>
      </c>
      <c r="C34">
        <f>dados!C34</f>
        <v>7</v>
      </c>
      <c r="D34" s="26">
        <f>dados!D34</f>
        <v>36708</v>
      </c>
      <c r="E34" s="53">
        <f>ABS(SUMPRODUCT(dados!E:E,-(dados!$B:$B=$B34),-(dados!$C:$C&lt;=$C34)))</f>
        <v>224854.36</v>
      </c>
      <c r="F34" s="53">
        <f>ABS(SUMPRODUCT(dados!F:F,-(dados!$B:$B=$B34),-(dados!$C:$C&lt;=$C34)))</f>
        <v>107650.26000000001</v>
      </c>
      <c r="G34" s="53">
        <f>ABS(SUMPRODUCT(dados!G:G,-(dados!$B:$B=$B34),-(dados!$C:$C&lt;=$C34)))</f>
        <v>45107.94</v>
      </c>
    </row>
    <row r="35" spans="1:7" x14ac:dyDescent="0.25">
      <c r="A35" t="str">
        <f>dados!A35</f>
        <v>20008</v>
      </c>
      <c r="B35">
        <f>dados!B35</f>
        <v>2000</v>
      </c>
      <c r="C35">
        <f>dados!C35</f>
        <v>8</v>
      </c>
      <c r="D35" s="26">
        <f>dados!D35</f>
        <v>36739</v>
      </c>
      <c r="E35" s="53">
        <f>ABS(SUMPRODUCT(dados!E:E,-(dados!$B:$B=$B35),-(dados!$C:$C&lt;=$C35)))</f>
        <v>254259.36</v>
      </c>
      <c r="F35" s="53">
        <f>ABS(SUMPRODUCT(dados!F:F,-(dados!$B:$B=$B35),-(dados!$C:$C&lt;=$C35)))</f>
        <v>121819.26000000001</v>
      </c>
      <c r="G35" s="53">
        <f>ABS(SUMPRODUCT(dados!G:G,-(dados!$B:$B=$B35),-(dados!$C:$C&lt;=$C35)))</f>
        <v>52347.94</v>
      </c>
    </row>
    <row r="36" spans="1:7" x14ac:dyDescent="0.25">
      <c r="A36" t="str">
        <f>dados!A36</f>
        <v>20009</v>
      </c>
      <c r="B36">
        <f>dados!B36</f>
        <v>2000</v>
      </c>
      <c r="C36">
        <f>dados!C36</f>
        <v>9</v>
      </c>
      <c r="D36" s="26">
        <f>dados!D36</f>
        <v>36770</v>
      </c>
      <c r="E36" s="53">
        <f>ABS(SUMPRODUCT(dados!E:E,-(dados!$B:$B=$B36),-(dados!$C:$C&lt;=$C36)))</f>
        <v>283909.36</v>
      </c>
      <c r="F36" s="53">
        <f>ABS(SUMPRODUCT(dados!F:F,-(dados!$B:$B=$B36),-(dados!$C:$C&lt;=$C36)))</f>
        <v>136106.26</v>
      </c>
      <c r="G36" s="53">
        <f>ABS(SUMPRODUCT(dados!G:G,-(dados!$B:$B=$B36),-(dados!$C:$C&lt;=$C36)))</f>
        <v>59587.94</v>
      </c>
    </row>
    <row r="37" spans="1:7" x14ac:dyDescent="0.25">
      <c r="A37" t="str">
        <f>dados!A37</f>
        <v>200010</v>
      </c>
      <c r="B37">
        <f>dados!B37</f>
        <v>2000</v>
      </c>
      <c r="C37">
        <f>dados!C37</f>
        <v>10</v>
      </c>
      <c r="D37" s="26">
        <f>dados!D37</f>
        <v>36800</v>
      </c>
      <c r="E37" s="53">
        <f>ABS(SUMPRODUCT(dados!E:E,-(dados!$B:$B=$B37),-(dados!$C:$C&lt;=$C37)))</f>
        <v>315258.36</v>
      </c>
      <c r="F37" s="53">
        <f>ABS(SUMPRODUCT(dados!F:F,-(dados!$B:$B=$B37),-(dados!$C:$C&lt;=$C37)))</f>
        <v>151212.26</v>
      </c>
      <c r="G37" s="53">
        <f>ABS(SUMPRODUCT(dados!G:G,-(dados!$B:$B=$B37),-(dados!$C:$C&lt;=$C37)))</f>
        <v>67389.94</v>
      </c>
    </row>
    <row r="38" spans="1:7" x14ac:dyDescent="0.25">
      <c r="A38" t="str">
        <f>dados!A38</f>
        <v>200011</v>
      </c>
      <c r="B38">
        <f>dados!B38</f>
        <v>2000</v>
      </c>
      <c r="C38">
        <f>dados!C38</f>
        <v>11</v>
      </c>
      <c r="D38" s="26">
        <f>dados!D38</f>
        <v>36831</v>
      </c>
      <c r="E38" s="53">
        <f>ABS(SUMPRODUCT(dados!E:E,-(dados!$B:$B=$B38),-(dados!$C:$C&lt;=$C38)))</f>
        <v>349284.36</v>
      </c>
      <c r="F38" s="53">
        <f>ABS(SUMPRODUCT(dados!F:F,-(dados!$B:$B=$B38),-(dados!$C:$C&lt;=$C38)))</f>
        <v>167608.26</v>
      </c>
      <c r="G38" s="53">
        <f>ABS(SUMPRODUCT(dados!G:G,-(dados!$B:$B=$B38),-(dados!$C:$C&lt;=$C38)))</f>
        <v>75469.94</v>
      </c>
    </row>
    <row r="39" spans="1:7" x14ac:dyDescent="0.25">
      <c r="A39" t="str">
        <f>dados!A39</f>
        <v>200012</v>
      </c>
      <c r="B39">
        <f>dados!B39</f>
        <v>2000</v>
      </c>
      <c r="C39">
        <f>dados!C39</f>
        <v>12</v>
      </c>
      <c r="D39" s="26">
        <f>dados!D39</f>
        <v>36861</v>
      </c>
      <c r="E39" s="53">
        <f>ABS(SUMPRODUCT(dados!E:E,-(dados!$B:$B=$B39),-(dados!$C:$C&lt;=$C39)))</f>
        <v>387684.23</v>
      </c>
      <c r="F39" s="53">
        <f>ABS(SUMPRODUCT(dados!F:F,-(dados!$B:$B=$B39),-(dados!$C:$C&lt;=$C39)))</f>
        <v>186111.63</v>
      </c>
      <c r="G39" s="53">
        <f>ABS(SUMPRODUCT(dados!G:G,-(dados!$B:$B=$B39),-(dados!$C:$C&lt;=$C39)))</f>
        <v>83629.16</v>
      </c>
    </row>
    <row r="40" spans="1:7" x14ac:dyDescent="0.25">
      <c r="A40" t="str">
        <f>dados!A40</f>
        <v>20011</v>
      </c>
      <c r="B40">
        <f>dados!B40</f>
        <v>2001</v>
      </c>
      <c r="C40">
        <f>dados!C40</f>
        <v>1</v>
      </c>
      <c r="D40" s="26">
        <f>dados!D40</f>
        <v>36892</v>
      </c>
      <c r="E40" s="53">
        <f>ABS(SUMPRODUCT(dados!E:E,-(dados!$B:$B=$B40),-(dados!$C:$C&lt;=$C40)))</f>
        <v>44755</v>
      </c>
      <c r="F40" s="53">
        <f>ABS(SUMPRODUCT(dados!F:F,-(dados!$B:$B=$B40),-(dados!$C:$C&lt;=$C40)))</f>
        <v>21488</v>
      </c>
      <c r="G40" s="53">
        <f>ABS(SUMPRODUCT(dados!G:G,-(dados!$B:$B=$B40),-(dados!$C:$C&lt;=$C40)))</f>
        <v>6738</v>
      </c>
    </row>
    <row r="41" spans="1:7" x14ac:dyDescent="0.25">
      <c r="A41" t="str">
        <f>dados!A41</f>
        <v>20012</v>
      </c>
      <c r="B41">
        <f>dados!B41</f>
        <v>2001</v>
      </c>
      <c r="C41">
        <f>dados!C41</f>
        <v>2</v>
      </c>
      <c r="D41" s="26">
        <f>dados!D41</f>
        <v>36923</v>
      </c>
      <c r="E41" s="53">
        <f>ABS(SUMPRODUCT(dados!E:E,-(dados!$B:$B=$B41),-(dados!$C:$C&lt;=$C41)))</f>
        <v>81221</v>
      </c>
      <c r="F41" s="53">
        <f>ABS(SUMPRODUCT(dados!F:F,-(dados!$B:$B=$B41),-(dados!$C:$C&lt;=$C41)))</f>
        <v>38996</v>
      </c>
      <c r="G41" s="53">
        <f>ABS(SUMPRODUCT(dados!G:G,-(dados!$B:$B=$B41),-(dados!$C:$C&lt;=$C41)))</f>
        <v>13271</v>
      </c>
    </row>
    <row r="42" spans="1:7" x14ac:dyDescent="0.25">
      <c r="A42" t="str">
        <f>dados!A42</f>
        <v>20013</v>
      </c>
      <c r="B42">
        <f>dados!B42</f>
        <v>2001</v>
      </c>
      <c r="C42">
        <f>dados!C42</f>
        <v>3</v>
      </c>
      <c r="D42" s="26">
        <f>dados!D42</f>
        <v>36951</v>
      </c>
      <c r="E42" s="53">
        <f>ABS(SUMPRODUCT(dados!E:E,-(dados!$B:$B=$B42),-(dados!$C:$C&lt;=$C42)))</f>
        <v>113186</v>
      </c>
      <c r="F42" s="53">
        <f>ABS(SUMPRODUCT(dados!F:F,-(dados!$B:$B=$B42),-(dados!$C:$C&lt;=$C42)))</f>
        <v>54349</v>
      </c>
      <c r="G42" s="53">
        <f>ABS(SUMPRODUCT(dados!G:G,-(dados!$B:$B=$B42),-(dados!$C:$C&lt;=$C42)))</f>
        <v>19485</v>
      </c>
    </row>
    <row r="43" spans="1:7" x14ac:dyDescent="0.25">
      <c r="A43" t="str">
        <f>dados!A43</f>
        <v>20014</v>
      </c>
      <c r="B43">
        <f>dados!B43</f>
        <v>2001</v>
      </c>
      <c r="C43">
        <f>dados!C43</f>
        <v>4</v>
      </c>
      <c r="D43" s="26">
        <f>dados!D43</f>
        <v>36982</v>
      </c>
      <c r="E43" s="53">
        <f>ABS(SUMPRODUCT(dados!E:E,-(dados!$B:$B=$B43),-(dados!$C:$C&lt;=$C43)))</f>
        <v>150720</v>
      </c>
      <c r="F43" s="53">
        <f>ABS(SUMPRODUCT(dados!F:F,-(dados!$B:$B=$B43),-(dados!$C:$C&lt;=$C43)))</f>
        <v>72407</v>
      </c>
      <c r="G43" s="53">
        <f>ABS(SUMPRODUCT(dados!G:G,-(dados!$B:$B=$B43),-(dados!$C:$C&lt;=$C43)))</f>
        <v>26563</v>
      </c>
    </row>
    <row r="44" spans="1:7" x14ac:dyDescent="0.25">
      <c r="A44" t="str">
        <f>dados!A44</f>
        <v>20015</v>
      </c>
      <c r="B44">
        <f>dados!B44</f>
        <v>2001</v>
      </c>
      <c r="C44">
        <f>dados!C44</f>
        <v>5</v>
      </c>
      <c r="D44" s="26">
        <f>dados!D44</f>
        <v>37012</v>
      </c>
      <c r="E44" s="53">
        <f>ABS(SUMPRODUCT(dados!E:E,-(dados!$B:$B=$B44),-(dados!$C:$C&lt;=$C44)))</f>
        <v>192922</v>
      </c>
      <c r="F44" s="53">
        <f>ABS(SUMPRODUCT(dados!F:F,-(dados!$B:$B=$B44),-(dados!$C:$C&lt;=$C44)))</f>
        <v>92710</v>
      </c>
      <c r="G44" s="53">
        <f>ABS(SUMPRODUCT(dados!G:G,-(dados!$B:$B=$B44),-(dados!$C:$C&lt;=$C44)))</f>
        <v>33670</v>
      </c>
    </row>
    <row r="45" spans="1:7" x14ac:dyDescent="0.25">
      <c r="A45" t="str">
        <f>dados!A45</f>
        <v>20016</v>
      </c>
      <c r="B45">
        <f>dados!B45</f>
        <v>2001</v>
      </c>
      <c r="C45">
        <f>dados!C45</f>
        <v>6</v>
      </c>
      <c r="D45" s="26">
        <f>dados!D45</f>
        <v>37043</v>
      </c>
      <c r="E45" s="53">
        <f>ABS(SUMPRODUCT(dados!E:E,-(dados!$B:$B=$B45),-(dados!$C:$C&lt;=$C45)))</f>
        <v>229538</v>
      </c>
      <c r="F45" s="53">
        <f>ABS(SUMPRODUCT(dados!F:F,-(dados!$B:$B=$B45),-(dados!$C:$C&lt;=$C45)))</f>
        <v>110326</v>
      </c>
      <c r="G45" s="53">
        <f>ABS(SUMPRODUCT(dados!G:G,-(dados!$B:$B=$B45),-(dados!$C:$C&lt;=$C45)))</f>
        <v>42027</v>
      </c>
    </row>
    <row r="46" spans="1:7" x14ac:dyDescent="0.25">
      <c r="A46" t="str">
        <f>dados!A46</f>
        <v>20017</v>
      </c>
      <c r="B46">
        <f>dados!B46</f>
        <v>2001</v>
      </c>
      <c r="C46">
        <f>dados!C46</f>
        <v>7</v>
      </c>
      <c r="D46" s="26">
        <f>dados!D46</f>
        <v>37073</v>
      </c>
      <c r="E46" s="53">
        <f>ABS(SUMPRODUCT(dados!E:E,-(dados!$B:$B=$B46),-(dados!$C:$C&lt;=$C46)))</f>
        <v>262874</v>
      </c>
      <c r="F46" s="53">
        <f>ABS(SUMPRODUCT(dados!F:F,-(dados!$B:$B=$B46),-(dados!$C:$C&lt;=$C46)))</f>
        <v>126351</v>
      </c>
      <c r="G46" s="53">
        <f>ABS(SUMPRODUCT(dados!G:G,-(dados!$B:$B=$B46),-(dados!$C:$C&lt;=$C46)))</f>
        <v>48787</v>
      </c>
    </row>
    <row r="47" spans="1:7" x14ac:dyDescent="0.25">
      <c r="A47" t="str">
        <f>dados!A47</f>
        <v>20018</v>
      </c>
      <c r="B47">
        <f>dados!B47</f>
        <v>2001</v>
      </c>
      <c r="C47">
        <f>dados!C47</f>
        <v>8</v>
      </c>
      <c r="D47" s="26">
        <f>dados!D47</f>
        <v>37104</v>
      </c>
      <c r="E47" s="53">
        <f>ABS(SUMPRODUCT(dados!E:E,-(dados!$B:$B=$B47),-(dados!$C:$C&lt;=$C47)))</f>
        <v>297926</v>
      </c>
      <c r="F47" s="53">
        <f>ABS(SUMPRODUCT(dados!F:F,-(dados!$B:$B=$B47),-(dados!$C:$C&lt;=$C47)))</f>
        <v>143222</v>
      </c>
      <c r="G47" s="53">
        <f>ABS(SUMPRODUCT(dados!G:G,-(dados!$B:$B=$B47),-(dados!$C:$C&lt;=$C47)))</f>
        <v>55676</v>
      </c>
    </row>
    <row r="48" spans="1:7" x14ac:dyDescent="0.25">
      <c r="A48" t="str">
        <f>dados!A48</f>
        <v>20019</v>
      </c>
      <c r="B48">
        <f>dados!B48</f>
        <v>2001</v>
      </c>
      <c r="C48">
        <f>dados!C48</f>
        <v>9</v>
      </c>
      <c r="D48" s="26">
        <f>dados!D48</f>
        <v>37135</v>
      </c>
      <c r="E48" s="53">
        <f>ABS(SUMPRODUCT(dados!E:E,-(dados!$B:$B=$B48),-(dados!$C:$C&lt;=$C48)))</f>
        <v>335798</v>
      </c>
      <c r="F48" s="53">
        <f>ABS(SUMPRODUCT(dados!F:F,-(dados!$B:$B=$B48),-(dados!$C:$C&lt;=$C48)))</f>
        <v>161470</v>
      </c>
      <c r="G48" s="53">
        <f>ABS(SUMPRODUCT(dados!G:G,-(dados!$B:$B=$B48),-(dados!$C:$C&lt;=$C48)))</f>
        <v>62318</v>
      </c>
    </row>
    <row r="49" spans="1:7" x14ac:dyDescent="0.25">
      <c r="A49" t="str">
        <f>dados!A49</f>
        <v>200110</v>
      </c>
      <c r="B49">
        <f>dados!B49</f>
        <v>2001</v>
      </c>
      <c r="C49">
        <f>dados!C49</f>
        <v>10</v>
      </c>
      <c r="D49" s="26">
        <f>dados!D49</f>
        <v>37165</v>
      </c>
      <c r="E49" s="53">
        <f>ABS(SUMPRODUCT(dados!E:E,-(dados!$B:$B=$B49),-(dados!$C:$C&lt;=$C49)))</f>
        <v>371992</v>
      </c>
      <c r="F49" s="53">
        <f>ABS(SUMPRODUCT(dados!F:F,-(dados!$B:$B=$B49),-(dados!$C:$C&lt;=$C49)))</f>
        <v>178910</v>
      </c>
      <c r="G49" s="53">
        <f>ABS(SUMPRODUCT(dados!G:G,-(dados!$B:$B=$B49),-(dados!$C:$C&lt;=$C49)))</f>
        <v>69061</v>
      </c>
    </row>
    <row r="50" spans="1:7" x14ac:dyDescent="0.25">
      <c r="A50" t="str">
        <f>dados!A50</f>
        <v>200111</v>
      </c>
      <c r="B50">
        <f>dados!B50</f>
        <v>2001</v>
      </c>
      <c r="C50">
        <f>dados!C50</f>
        <v>11</v>
      </c>
      <c r="D50" s="26">
        <f>dados!D50</f>
        <v>37196</v>
      </c>
      <c r="E50" s="53">
        <f>ABS(SUMPRODUCT(dados!E:E,-(dados!$B:$B=$B50),-(dados!$C:$C&lt;=$C50)))</f>
        <v>409610</v>
      </c>
      <c r="F50" s="53">
        <f>ABS(SUMPRODUCT(dados!F:F,-(dados!$B:$B=$B50),-(dados!$C:$C&lt;=$C50)))</f>
        <v>197036</v>
      </c>
      <c r="G50" s="53">
        <f>ABS(SUMPRODUCT(dados!G:G,-(dados!$B:$B=$B50),-(dados!$C:$C&lt;=$C50)))</f>
        <v>75713</v>
      </c>
    </row>
    <row r="51" spans="1:7" x14ac:dyDescent="0.25">
      <c r="A51" t="str">
        <f>dados!A51</f>
        <v>200112</v>
      </c>
      <c r="B51">
        <f>dados!B51</f>
        <v>2001</v>
      </c>
      <c r="C51">
        <f>dados!C51</f>
        <v>12</v>
      </c>
      <c r="D51" s="26">
        <f>dados!D51</f>
        <v>37226</v>
      </c>
      <c r="E51" s="53">
        <f>ABS(SUMPRODUCT(dados!E:E,-(dados!$B:$B=$B51),-(dados!$C:$C&lt;=$C51)))</f>
        <v>455233</v>
      </c>
      <c r="F51" s="53">
        <f>ABS(SUMPRODUCT(dados!F:F,-(dados!$B:$B=$B51),-(dados!$C:$C&lt;=$C51)))</f>
        <v>219019</v>
      </c>
      <c r="G51" s="53">
        <f>ABS(SUMPRODUCT(dados!G:G,-(dados!$B:$B=$B51),-(dados!$C:$C&lt;=$C51)))</f>
        <v>82562</v>
      </c>
    </row>
    <row r="52" spans="1:7" x14ac:dyDescent="0.25">
      <c r="A52" t="str">
        <f>dados!A52</f>
        <v>20021</v>
      </c>
      <c r="B52">
        <f>dados!B52</f>
        <v>2002</v>
      </c>
      <c r="C52">
        <f>dados!C52</f>
        <v>1</v>
      </c>
      <c r="D52" s="26">
        <f>dados!D52</f>
        <v>37257</v>
      </c>
      <c r="E52" s="53">
        <f>ABS(SUMPRODUCT(dados!E:E,-(dados!$B:$B=$B52),-(dados!$C:$C&lt;=$C52)))</f>
        <v>48507</v>
      </c>
      <c r="F52" s="53">
        <f>ABS(SUMPRODUCT(dados!F:F,-(dados!$B:$B=$B52),-(dados!$C:$C&lt;=$C52)))</f>
        <v>23796</v>
      </c>
      <c r="G52" s="53">
        <f>ABS(SUMPRODUCT(dados!G:G,-(dados!$B:$B=$B52),-(dados!$C:$C&lt;=$C52)))</f>
        <v>8676</v>
      </c>
    </row>
    <row r="53" spans="1:7" x14ac:dyDescent="0.25">
      <c r="A53" t="str">
        <f>dados!A53</f>
        <v>20022</v>
      </c>
      <c r="B53">
        <f>dados!B53</f>
        <v>2002</v>
      </c>
      <c r="C53">
        <f>dados!C53</f>
        <v>2</v>
      </c>
      <c r="D53" s="26">
        <f>dados!D53</f>
        <v>37288</v>
      </c>
      <c r="E53" s="53">
        <f>ABS(SUMPRODUCT(dados!E:E,-(dados!$B:$B=$B53),-(dados!$C:$C&lt;=$C53)))</f>
        <v>105080</v>
      </c>
      <c r="F53" s="53">
        <f>ABS(SUMPRODUCT(dados!F:F,-(dados!$B:$B=$B53),-(dados!$C:$C&lt;=$C53)))</f>
        <v>51598</v>
      </c>
      <c r="G53" s="53">
        <f>ABS(SUMPRODUCT(dados!G:G,-(dados!$B:$B=$B53),-(dados!$C:$C&lt;=$C53)))</f>
        <v>16885</v>
      </c>
    </row>
    <row r="54" spans="1:7" x14ac:dyDescent="0.25">
      <c r="A54" t="str">
        <f>dados!A54</f>
        <v>20023</v>
      </c>
      <c r="B54">
        <f>dados!B54</f>
        <v>2002</v>
      </c>
      <c r="C54">
        <f>dados!C54</f>
        <v>3</v>
      </c>
      <c r="D54" s="26">
        <f>dados!D54</f>
        <v>37316</v>
      </c>
      <c r="E54" s="53">
        <f>ABS(SUMPRODUCT(dados!E:E,-(dados!$B:$B=$B54),-(dados!$C:$C&lt;=$C54)))</f>
        <v>148374</v>
      </c>
      <c r="F54" s="53">
        <f>ABS(SUMPRODUCT(dados!F:F,-(dados!$B:$B=$B54),-(dados!$C:$C&lt;=$C54)))</f>
        <v>72874</v>
      </c>
      <c r="G54" s="53">
        <f>ABS(SUMPRODUCT(dados!G:G,-(dados!$B:$B=$B54),-(dados!$C:$C&lt;=$C54)))</f>
        <v>24125</v>
      </c>
    </row>
    <row r="55" spans="1:7" x14ac:dyDescent="0.25">
      <c r="A55" t="str">
        <f>dados!A55</f>
        <v>20024</v>
      </c>
      <c r="B55">
        <f>dados!B55</f>
        <v>2002</v>
      </c>
      <c r="C55">
        <f>dados!C55</f>
        <v>4</v>
      </c>
      <c r="D55" s="26">
        <f>dados!D55</f>
        <v>37347</v>
      </c>
      <c r="E55" s="53">
        <f>ABS(SUMPRODUCT(dados!E:E,-(dados!$B:$B=$B55),-(dados!$C:$C&lt;=$C55)))</f>
        <v>193592</v>
      </c>
      <c r="F55" s="53">
        <f>ABS(SUMPRODUCT(dados!F:F,-(dados!$B:$B=$B55),-(dados!$C:$C&lt;=$C55)))</f>
        <v>95096</v>
      </c>
      <c r="G55" s="53">
        <f>ABS(SUMPRODUCT(dados!G:G,-(dados!$B:$B=$B55),-(dados!$C:$C&lt;=$C55)))</f>
        <v>33176</v>
      </c>
    </row>
    <row r="56" spans="1:7" x14ac:dyDescent="0.25">
      <c r="A56" t="str">
        <f>dados!A56</f>
        <v>20025</v>
      </c>
      <c r="B56">
        <f>dados!B56</f>
        <v>2002</v>
      </c>
      <c r="C56">
        <f>dados!C56</f>
        <v>5</v>
      </c>
      <c r="D56" s="26">
        <f>dados!D56</f>
        <v>37377</v>
      </c>
      <c r="E56" s="53">
        <f>ABS(SUMPRODUCT(dados!E:E,-(dados!$B:$B=$B56),-(dados!$C:$C&lt;=$C56)))</f>
        <v>245416</v>
      </c>
      <c r="F56" s="53">
        <f>ABS(SUMPRODUCT(dados!F:F,-(dados!$B:$B=$B56),-(dados!$C:$C&lt;=$C56)))</f>
        <v>120565</v>
      </c>
      <c r="G56" s="53">
        <f>ABS(SUMPRODUCT(dados!G:G,-(dados!$B:$B=$B56),-(dados!$C:$C&lt;=$C56)))</f>
        <v>41684</v>
      </c>
    </row>
    <row r="57" spans="1:7" x14ac:dyDescent="0.25">
      <c r="A57" t="str">
        <f>dados!A57</f>
        <v>20026</v>
      </c>
      <c r="B57">
        <f>dados!B57</f>
        <v>2002</v>
      </c>
      <c r="C57">
        <f>dados!C57</f>
        <v>6</v>
      </c>
      <c r="D57" s="26">
        <f>dados!D57</f>
        <v>37408</v>
      </c>
      <c r="E57" s="53">
        <f>ABS(SUMPRODUCT(dados!E:E,-(dados!$B:$B=$B57),-(dados!$C:$C&lt;=$C57)))</f>
        <v>281902</v>
      </c>
      <c r="F57" s="53">
        <f>ABS(SUMPRODUCT(dados!F:F,-(dados!$B:$B=$B57),-(dados!$C:$C&lt;=$C57)))</f>
        <v>138495</v>
      </c>
      <c r="G57" s="53">
        <f>ABS(SUMPRODUCT(dados!G:G,-(dados!$B:$B=$B57),-(dados!$C:$C&lt;=$C57)))</f>
        <v>49618</v>
      </c>
    </row>
    <row r="58" spans="1:7" x14ac:dyDescent="0.25">
      <c r="A58" t="str">
        <f>dados!A58</f>
        <v>20027</v>
      </c>
      <c r="B58">
        <f>dados!B58</f>
        <v>2002</v>
      </c>
      <c r="C58">
        <f>dados!C58</f>
        <v>7</v>
      </c>
      <c r="D58" s="26">
        <f>dados!D58</f>
        <v>37438</v>
      </c>
      <c r="E58" s="53">
        <f>ABS(SUMPRODUCT(dados!E:E,-(dados!$B:$B=$B58),-(dados!$C:$C&lt;=$C58)))</f>
        <v>321796</v>
      </c>
      <c r="F58" s="53">
        <f>ABS(SUMPRODUCT(dados!F:F,-(dados!$B:$B=$B58),-(dados!$C:$C&lt;=$C58)))</f>
        <v>158101</v>
      </c>
      <c r="G58" s="53">
        <f>ABS(SUMPRODUCT(dados!G:G,-(dados!$B:$B=$B58),-(dados!$C:$C&lt;=$C58)))</f>
        <v>57789</v>
      </c>
    </row>
    <row r="59" spans="1:7" x14ac:dyDescent="0.25">
      <c r="A59" t="str">
        <f>dados!A59</f>
        <v>20028</v>
      </c>
      <c r="B59">
        <f>dados!B59</f>
        <v>2002</v>
      </c>
      <c r="C59">
        <f>dados!C59</f>
        <v>8</v>
      </c>
      <c r="D59" s="26">
        <f>dados!D59</f>
        <v>37469</v>
      </c>
      <c r="E59" s="53">
        <f>ABS(SUMPRODUCT(dados!E:E,-(dados!$B:$B=$B59),-(dados!$C:$C&lt;=$C59)))</f>
        <v>359571</v>
      </c>
      <c r="F59" s="53">
        <f>ABS(SUMPRODUCT(dados!F:F,-(dados!$B:$B=$B59),-(dados!$C:$C&lt;=$C59)))</f>
        <v>176665</v>
      </c>
      <c r="G59" s="53">
        <f>ABS(SUMPRODUCT(dados!G:G,-(dados!$B:$B=$B59),-(dados!$C:$C&lt;=$C59)))</f>
        <v>66173</v>
      </c>
    </row>
    <row r="60" spans="1:7" x14ac:dyDescent="0.25">
      <c r="A60" t="str">
        <f>dados!A60</f>
        <v>20029</v>
      </c>
      <c r="B60">
        <f>dados!B60</f>
        <v>2002</v>
      </c>
      <c r="C60">
        <f>dados!C60</f>
        <v>9</v>
      </c>
      <c r="D60" s="26">
        <f>dados!D60</f>
        <v>37500</v>
      </c>
      <c r="E60" s="53">
        <f>ABS(SUMPRODUCT(dados!E:E,-(dados!$B:$B=$B60),-(dados!$C:$C&lt;=$C60)))</f>
        <v>401274</v>
      </c>
      <c r="F60" s="53">
        <f>ABS(SUMPRODUCT(dados!F:F,-(dados!$B:$B=$B60),-(dados!$C:$C&lt;=$C60)))</f>
        <v>197160</v>
      </c>
      <c r="G60" s="53">
        <f>ABS(SUMPRODUCT(dados!G:G,-(dados!$B:$B=$B60),-(dados!$C:$C&lt;=$C60)))</f>
        <v>74581</v>
      </c>
    </row>
    <row r="61" spans="1:7" x14ac:dyDescent="0.25">
      <c r="A61" t="str">
        <f>dados!A61</f>
        <v>200210</v>
      </c>
      <c r="B61">
        <f>dados!B61</f>
        <v>2002</v>
      </c>
      <c r="C61">
        <f>dados!C61</f>
        <v>10</v>
      </c>
      <c r="D61" s="26">
        <f>dados!D61</f>
        <v>37530</v>
      </c>
      <c r="E61" s="53">
        <f>ABS(SUMPRODUCT(dados!E:E,-(dados!$B:$B=$B61),-(dados!$C:$C&lt;=$C61)))</f>
        <v>456228</v>
      </c>
      <c r="F61" s="53">
        <f>ABS(SUMPRODUCT(dados!F:F,-(dados!$B:$B=$B61),-(dados!$C:$C&lt;=$C61)))</f>
        <v>224166</v>
      </c>
      <c r="G61" s="53">
        <f>ABS(SUMPRODUCT(dados!G:G,-(dados!$B:$B=$B61),-(dados!$C:$C&lt;=$C61)))</f>
        <v>83398</v>
      </c>
    </row>
    <row r="62" spans="1:7" x14ac:dyDescent="0.25">
      <c r="A62" t="str">
        <f>dados!A62</f>
        <v>200211</v>
      </c>
      <c r="B62">
        <f>dados!B62</f>
        <v>2002</v>
      </c>
      <c r="C62">
        <f>dados!C62</f>
        <v>11</v>
      </c>
      <c r="D62" s="26">
        <f>dados!D62</f>
        <v>37561</v>
      </c>
      <c r="E62" s="53">
        <f>ABS(SUMPRODUCT(dados!E:E,-(dados!$B:$B=$B62),-(dados!$C:$C&lt;=$C62)))</f>
        <v>504429</v>
      </c>
      <c r="F62" s="53">
        <f>ABS(SUMPRODUCT(dados!F:F,-(dados!$B:$B=$B62),-(dados!$C:$C&lt;=$C62)))</f>
        <v>247854</v>
      </c>
      <c r="G62" s="53">
        <f>ABS(SUMPRODUCT(dados!G:G,-(dados!$B:$B=$B62),-(dados!$C:$C&lt;=$C62)))</f>
        <v>92302</v>
      </c>
    </row>
    <row r="63" spans="1:7" x14ac:dyDescent="0.25">
      <c r="A63" t="str">
        <f>dados!A63</f>
        <v>200212</v>
      </c>
      <c r="B63">
        <f>dados!B63</f>
        <v>2002</v>
      </c>
      <c r="C63">
        <f>dados!C63</f>
        <v>12</v>
      </c>
      <c r="D63" s="26">
        <f>dados!D63</f>
        <v>37591</v>
      </c>
      <c r="E63" s="53">
        <f>ABS(SUMPRODUCT(dados!E:E,-(dados!$B:$B=$B63),-(dados!$C:$C&lt;=$C63)))</f>
        <v>551639</v>
      </c>
      <c r="F63" s="53">
        <f>ABS(SUMPRODUCT(dados!F:F,-(dados!$B:$B=$B63),-(dados!$C:$C&lt;=$C63)))</f>
        <v>271055</v>
      </c>
      <c r="G63" s="53">
        <f>ABS(SUMPRODUCT(dados!G:G,-(dados!$B:$B=$B63),-(dados!$C:$C&lt;=$C63)))</f>
        <v>101399</v>
      </c>
    </row>
    <row r="64" spans="1:7" x14ac:dyDescent="0.25">
      <c r="A64" t="str">
        <f>dados!A64</f>
        <v>20031</v>
      </c>
      <c r="B64">
        <f>dados!B64</f>
        <v>2003</v>
      </c>
      <c r="C64">
        <f>dados!C64</f>
        <v>1</v>
      </c>
      <c r="D64" s="26">
        <f>dados!D64</f>
        <v>37622</v>
      </c>
      <c r="E64" s="53">
        <f>ABS(SUMPRODUCT(dados!E:E,-(dados!$B:$B=$B64),-(dados!$C:$C&lt;=$C64)))</f>
        <v>51179</v>
      </c>
      <c r="F64" s="53">
        <f>ABS(SUMPRODUCT(dados!F:F,-(dados!$B:$B=$B64),-(dados!$C:$C&lt;=$C64)))</f>
        <v>25275</v>
      </c>
      <c r="G64" s="53">
        <f>ABS(SUMPRODUCT(dados!G:G,-(dados!$B:$B=$B64),-(dados!$C:$C&lt;=$C64)))</f>
        <v>10586</v>
      </c>
    </row>
    <row r="65" spans="1:7" x14ac:dyDescent="0.25">
      <c r="A65" t="str">
        <f>dados!A65</f>
        <v>20032</v>
      </c>
      <c r="B65">
        <f>dados!B65</f>
        <v>2003</v>
      </c>
      <c r="C65">
        <f>dados!C65</f>
        <v>2</v>
      </c>
      <c r="D65" s="26">
        <f>dados!D65</f>
        <v>37653</v>
      </c>
      <c r="E65" s="53">
        <f>ABS(SUMPRODUCT(dados!E:E,-(dados!$B:$B=$B65),-(dados!$C:$C&lt;=$C65)))</f>
        <v>105058</v>
      </c>
      <c r="F65" s="53">
        <f>ABS(SUMPRODUCT(dados!F:F,-(dados!$B:$B=$B65),-(dados!$C:$C&lt;=$C65)))</f>
        <v>51889</v>
      </c>
      <c r="G65" s="53">
        <f>ABS(SUMPRODUCT(dados!G:G,-(dados!$B:$B=$B65),-(dados!$C:$C&lt;=$C65)))</f>
        <v>21103</v>
      </c>
    </row>
    <row r="66" spans="1:7" x14ac:dyDescent="0.25">
      <c r="A66" t="str">
        <f>dados!A66</f>
        <v>20033</v>
      </c>
      <c r="B66">
        <f>dados!B66</f>
        <v>2003</v>
      </c>
      <c r="C66">
        <f>dados!C66</f>
        <v>3</v>
      </c>
      <c r="D66" s="26">
        <f>dados!D66</f>
        <v>37681</v>
      </c>
      <c r="E66" s="53">
        <f>ABS(SUMPRODUCT(dados!E:E,-(dados!$B:$B=$B66),-(dados!$C:$C&lt;=$C66)))</f>
        <v>151749</v>
      </c>
      <c r="F66" s="53">
        <f>ABS(SUMPRODUCT(dados!F:F,-(dados!$B:$B=$B66),-(dados!$C:$C&lt;=$C66)))</f>
        <v>74973</v>
      </c>
      <c r="G66" s="53">
        <f>ABS(SUMPRODUCT(dados!G:G,-(dados!$B:$B=$B66),-(dados!$C:$C&lt;=$C66)))</f>
        <v>30843</v>
      </c>
    </row>
    <row r="67" spans="1:7" x14ac:dyDescent="0.25">
      <c r="A67" t="str">
        <f>dados!A67</f>
        <v>20034</v>
      </c>
      <c r="B67">
        <f>dados!B67</f>
        <v>2003</v>
      </c>
      <c r="C67">
        <f>dados!C67</f>
        <v>4</v>
      </c>
      <c r="D67" s="26">
        <f>dados!D67</f>
        <v>37712</v>
      </c>
      <c r="E67" s="53">
        <f>ABS(SUMPRODUCT(dados!E:E,-(dados!$B:$B=$B67),-(dados!$C:$C&lt;=$C67)))</f>
        <v>196204</v>
      </c>
      <c r="F67" s="53">
        <f>ABS(SUMPRODUCT(dados!F:F,-(dados!$B:$B=$B67),-(dados!$C:$C&lt;=$C67)))</f>
        <v>96952</v>
      </c>
      <c r="G67" s="53">
        <f>ABS(SUMPRODUCT(dados!G:G,-(dados!$B:$B=$B67),-(dados!$C:$C&lt;=$C67)))</f>
        <v>41702</v>
      </c>
    </row>
    <row r="68" spans="1:7" x14ac:dyDescent="0.25">
      <c r="A68" t="str">
        <f>dados!A68</f>
        <v>20035</v>
      </c>
      <c r="B68">
        <f>dados!B68</f>
        <v>2003</v>
      </c>
      <c r="C68">
        <f>dados!C68</f>
        <v>5</v>
      </c>
      <c r="D68" s="26">
        <f>dados!D68</f>
        <v>37742</v>
      </c>
      <c r="E68" s="53">
        <f>ABS(SUMPRODUCT(dados!E:E,-(dados!$B:$B=$B68),-(dados!$C:$C&lt;=$C68)))</f>
        <v>258558</v>
      </c>
      <c r="F68" s="53">
        <f>ABS(SUMPRODUCT(dados!F:F,-(dados!$B:$B=$B68),-(dados!$C:$C&lt;=$C68)))</f>
        <v>127780</v>
      </c>
      <c r="G68" s="53">
        <f>ABS(SUMPRODUCT(dados!G:G,-(dados!$B:$B=$B68),-(dados!$C:$C&lt;=$C68)))</f>
        <v>50104</v>
      </c>
    </row>
    <row r="69" spans="1:7" x14ac:dyDescent="0.25">
      <c r="A69" t="str">
        <f>dados!A69</f>
        <v>20036</v>
      </c>
      <c r="B69">
        <f>dados!B69</f>
        <v>2003</v>
      </c>
      <c r="C69">
        <f>dados!C69</f>
        <v>6</v>
      </c>
      <c r="D69" s="26">
        <f>dados!D69</f>
        <v>37773</v>
      </c>
      <c r="E69" s="53">
        <f>ABS(SUMPRODUCT(dados!E:E,-(dados!$B:$B=$B69),-(dados!$C:$C&lt;=$C69)))</f>
        <v>302347</v>
      </c>
      <c r="F69" s="53">
        <f>ABS(SUMPRODUCT(dados!F:F,-(dados!$B:$B=$B69),-(dados!$C:$C&lt;=$C69)))</f>
        <v>149429</v>
      </c>
      <c r="G69" s="53">
        <f>ABS(SUMPRODUCT(dados!G:G,-(dados!$B:$B=$B69),-(dados!$C:$C&lt;=$C69)))</f>
        <v>59495</v>
      </c>
    </row>
    <row r="70" spans="1:7" x14ac:dyDescent="0.25">
      <c r="A70" t="str">
        <f>dados!A70</f>
        <v>20037</v>
      </c>
      <c r="B70">
        <f>dados!B70</f>
        <v>2003</v>
      </c>
      <c r="C70">
        <f>dados!C70</f>
        <v>7</v>
      </c>
      <c r="D70" s="26">
        <f>dados!D70</f>
        <v>37803</v>
      </c>
      <c r="E70" s="53">
        <f>ABS(SUMPRODUCT(dados!E:E,-(dados!$B:$B=$B70),-(dados!$C:$C&lt;=$C70)))</f>
        <v>339062</v>
      </c>
      <c r="F70" s="53">
        <f>ABS(SUMPRODUCT(dados!F:F,-(dados!$B:$B=$B70),-(dados!$C:$C&lt;=$C70)))</f>
        <v>167581</v>
      </c>
      <c r="G70" s="53">
        <f>ABS(SUMPRODUCT(dados!G:G,-(dados!$B:$B=$B70),-(dados!$C:$C&lt;=$C70)))</f>
        <v>68370</v>
      </c>
    </row>
    <row r="71" spans="1:7" x14ac:dyDescent="0.25">
      <c r="A71" t="str">
        <f>dados!A71</f>
        <v>20038</v>
      </c>
      <c r="B71">
        <f>dados!B71</f>
        <v>2003</v>
      </c>
      <c r="C71">
        <f>dados!C71</f>
        <v>8</v>
      </c>
      <c r="D71" s="26">
        <f>dados!D71</f>
        <v>37834</v>
      </c>
      <c r="E71" s="53">
        <f>ABS(SUMPRODUCT(dados!E:E,-(dados!$B:$B=$B71),-(dados!$C:$C&lt;=$C71)))</f>
        <v>387228</v>
      </c>
      <c r="F71" s="53">
        <f>ABS(SUMPRODUCT(dados!F:F,-(dados!$B:$B=$B71),-(dados!$C:$C&lt;=$C71)))</f>
        <v>191394</v>
      </c>
      <c r="G71" s="53">
        <f>ABS(SUMPRODUCT(dados!G:G,-(dados!$B:$B=$B71),-(dados!$C:$C&lt;=$C71)))</f>
        <v>77835</v>
      </c>
    </row>
    <row r="72" spans="1:7" x14ac:dyDescent="0.25">
      <c r="A72" t="str">
        <f>dados!A72</f>
        <v>20039</v>
      </c>
      <c r="B72">
        <f>dados!B72</f>
        <v>2003</v>
      </c>
      <c r="C72">
        <f>dados!C72</f>
        <v>9</v>
      </c>
      <c r="D72" s="26">
        <f>dados!D72</f>
        <v>37865</v>
      </c>
      <c r="E72" s="53">
        <f>ABS(SUMPRODUCT(dados!E:E,-(dados!$B:$B=$B72),-(dados!$C:$C&lt;=$C72)))</f>
        <v>429021</v>
      </c>
      <c r="F72" s="53">
        <f>ABS(SUMPRODUCT(dados!F:F,-(dados!$B:$B=$B72),-(dados!$C:$C&lt;=$C72)))</f>
        <v>212057</v>
      </c>
      <c r="G72" s="53">
        <f>ABS(SUMPRODUCT(dados!G:G,-(dados!$B:$B=$B72),-(dados!$C:$C&lt;=$C72)))</f>
        <v>86388</v>
      </c>
    </row>
    <row r="73" spans="1:7" x14ac:dyDescent="0.25">
      <c r="A73" t="str">
        <f>dados!A73</f>
        <v>200310</v>
      </c>
      <c r="B73">
        <f>dados!B73</f>
        <v>2003</v>
      </c>
      <c r="C73">
        <f>dados!C73</f>
        <v>10</v>
      </c>
      <c r="D73" s="26">
        <f>dados!D73</f>
        <v>37895</v>
      </c>
      <c r="E73" s="53">
        <f>ABS(SUMPRODUCT(dados!E:E,-(dados!$B:$B=$B73),-(dados!$C:$C&lt;=$C73)))</f>
        <v>472214</v>
      </c>
      <c r="F73" s="53">
        <f>ABS(SUMPRODUCT(dados!F:F,-(dados!$B:$B=$B73),-(dados!$C:$C&lt;=$C73)))</f>
        <v>233405</v>
      </c>
      <c r="G73" s="53">
        <f>ABS(SUMPRODUCT(dados!G:G,-(dados!$B:$B=$B73),-(dados!$C:$C&lt;=$C73)))</f>
        <v>96718</v>
      </c>
    </row>
    <row r="74" spans="1:7" x14ac:dyDescent="0.25">
      <c r="A74" t="str">
        <f>dados!A74</f>
        <v>200311</v>
      </c>
      <c r="B74">
        <f>dados!B74</f>
        <v>2003</v>
      </c>
      <c r="C74">
        <f>dados!C74</f>
        <v>11</v>
      </c>
      <c r="D74" s="26">
        <f>dados!D74</f>
        <v>37926</v>
      </c>
      <c r="E74" s="53">
        <f>ABS(SUMPRODUCT(dados!E:E,-(dados!$B:$B=$B74),-(dados!$C:$C&lt;=$C74)))</f>
        <v>520314</v>
      </c>
      <c r="F74" s="53">
        <f>ABS(SUMPRODUCT(dados!F:F,-(dados!$B:$B=$B74),-(dados!$C:$C&lt;=$C74)))</f>
        <v>257186</v>
      </c>
      <c r="G74" s="53">
        <f>ABS(SUMPRODUCT(dados!G:G,-(dados!$B:$B=$B74),-(dados!$C:$C&lt;=$C74)))</f>
        <v>107359</v>
      </c>
    </row>
    <row r="75" spans="1:7" x14ac:dyDescent="0.25">
      <c r="A75" t="str">
        <f>dados!A75</f>
        <v>200312</v>
      </c>
      <c r="B75">
        <f>dados!B75</f>
        <v>2003</v>
      </c>
      <c r="C75">
        <f>dados!C75</f>
        <v>12</v>
      </c>
      <c r="D75" s="26">
        <f>dados!D75</f>
        <v>37956</v>
      </c>
      <c r="E75" s="53">
        <f>ABS(SUMPRODUCT(dados!E:E,-(dados!$B:$B=$B75),-(dados!$C:$C&lt;=$C75)))</f>
        <v>570467</v>
      </c>
      <c r="F75" s="53">
        <f>ABS(SUMPRODUCT(dados!F:F,-(dados!$B:$B=$B75),-(dados!$C:$C&lt;=$C75)))</f>
        <v>281980</v>
      </c>
      <c r="G75" s="53">
        <f>ABS(SUMPRODUCT(dados!G:G,-(dados!$B:$B=$B75),-(dados!$C:$C&lt;=$C75)))</f>
        <v>118793</v>
      </c>
    </row>
    <row r="76" spans="1:7" x14ac:dyDescent="0.25">
      <c r="A76" t="str">
        <f>dados!A76</f>
        <v>20041</v>
      </c>
      <c r="B76">
        <f>dados!B76</f>
        <v>2004</v>
      </c>
      <c r="C76">
        <f>dados!C76</f>
        <v>1</v>
      </c>
      <c r="D76" s="26">
        <f>dados!D76</f>
        <v>37987</v>
      </c>
      <c r="E76" s="53">
        <f>ABS(SUMPRODUCT(dados!E:E,-(dados!$B:$B=$B76),-(dados!$C:$C&lt;=$C76)))</f>
        <v>55160</v>
      </c>
      <c r="F76" s="53">
        <f>ABS(SUMPRODUCT(dados!F:F,-(dados!$B:$B=$B76),-(dados!$C:$C&lt;=$C76)))</f>
        <v>27214</v>
      </c>
      <c r="G76" s="53">
        <f>ABS(SUMPRODUCT(dados!G:G,-(dados!$B:$B=$B76),-(dados!$C:$C&lt;=$C76)))</f>
        <v>12699</v>
      </c>
    </row>
    <row r="77" spans="1:7" x14ac:dyDescent="0.25">
      <c r="A77" t="str">
        <f>dados!A77</f>
        <v>20042</v>
      </c>
      <c r="B77">
        <f>dados!B77</f>
        <v>2004</v>
      </c>
      <c r="C77">
        <f>dados!C77</f>
        <v>2</v>
      </c>
      <c r="D77" s="26">
        <f>dados!D77</f>
        <v>38018</v>
      </c>
      <c r="E77" s="53">
        <f>ABS(SUMPRODUCT(dados!E:E,-(dados!$B:$B=$B77),-(dados!$C:$C&lt;=$C77)))</f>
        <v>115400</v>
      </c>
      <c r="F77" s="53">
        <f>ABS(SUMPRODUCT(dados!F:F,-(dados!$B:$B=$B77),-(dados!$C:$C&lt;=$C77)))</f>
        <v>56934</v>
      </c>
      <c r="G77" s="53">
        <f>ABS(SUMPRODUCT(dados!G:G,-(dados!$B:$B=$B77),-(dados!$C:$C&lt;=$C77)))</f>
        <v>26671</v>
      </c>
    </row>
    <row r="78" spans="1:7" x14ac:dyDescent="0.25">
      <c r="A78" t="str">
        <f>dados!A78</f>
        <v>20043</v>
      </c>
      <c r="B78">
        <f>dados!B78</f>
        <v>2004</v>
      </c>
      <c r="C78">
        <f>dados!C78</f>
        <v>3</v>
      </c>
      <c r="D78" s="26">
        <f>dados!D78</f>
        <v>38047</v>
      </c>
      <c r="E78" s="53">
        <f>ABS(SUMPRODUCT(dados!E:E,-(dados!$B:$B=$B78),-(dados!$C:$C&lt;=$C78)))</f>
        <v>164152</v>
      </c>
      <c r="F78" s="53">
        <f>ABS(SUMPRODUCT(dados!F:F,-(dados!$B:$B=$B78),-(dados!$C:$C&lt;=$C78)))</f>
        <v>80987</v>
      </c>
      <c r="G78" s="53">
        <f>ABS(SUMPRODUCT(dados!G:G,-(dados!$B:$B=$B78),-(dados!$C:$C&lt;=$C78)))</f>
        <v>39664</v>
      </c>
    </row>
    <row r="79" spans="1:7" x14ac:dyDescent="0.25">
      <c r="A79" t="str">
        <f>dados!A79</f>
        <v>20044</v>
      </c>
      <c r="B79">
        <f>dados!B79</f>
        <v>2004</v>
      </c>
      <c r="C79">
        <f>dados!C79</f>
        <v>4</v>
      </c>
      <c r="D79" s="26">
        <f>dados!D79</f>
        <v>38078</v>
      </c>
      <c r="E79" s="53">
        <f>ABS(SUMPRODUCT(dados!E:E,-(dados!$B:$B=$B79),-(dados!$C:$C&lt;=$C79)))</f>
        <v>217854</v>
      </c>
      <c r="F79" s="53">
        <f>ABS(SUMPRODUCT(dados!F:F,-(dados!$B:$B=$B79),-(dados!$C:$C&lt;=$C79)))</f>
        <v>107482</v>
      </c>
      <c r="G79" s="53">
        <f>ABS(SUMPRODUCT(dados!G:G,-(dados!$B:$B=$B79),-(dados!$C:$C&lt;=$C79)))</f>
        <v>55654</v>
      </c>
    </row>
    <row r="80" spans="1:7" x14ac:dyDescent="0.25">
      <c r="A80" t="str">
        <f>dados!A80</f>
        <v>20045</v>
      </c>
      <c r="B80">
        <f>dados!B80</f>
        <v>2004</v>
      </c>
      <c r="C80">
        <f>dados!C80</f>
        <v>5</v>
      </c>
      <c r="D80" s="26">
        <f>dados!D80</f>
        <v>38108</v>
      </c>
      <c r="E80" s="53">
        <f>ABS(SUMPRODUCT(dados!E:E,-(dados!$B:$B=$B80),-(dados!$C:$C&lt;=$C80)))</f>
        <v>280398</v>
      </c>
      <c r="F80" s="53">
        <f>ABS(SUMPRODUCT(dados!F:F,-(dados!$B:$B=$B80),-(dados!$C:$C&lt;=$C80)))</f>
        <v>138339</v>
      </c>
      <c r="G80" s="53">
        <f>ABS(SUMPRODUCT(dados!G:G,-(dados!$B:$B=$B80),-(dados!$C:$C&lt;=$C80)))</f>
        <v>71309</v>
      </c>
    </row>
    <row r="81" spans="1:7" x14ac:dyDescent="0.25">
      <c r="A81" t="str">
        <f>dados!A81</f>
        <v>20046</v>
      </c>
      <c r="B81">
        <f>dados!B81</f>
        <v>2004</v>
      </c>
      <c r="C81">
        <f>dados!C81</f>
        <v>6</v>
      </c>
      <c r="D81" s="26">
        <f>dados!D81</f>
        <v>38139</v>
      </c>
      <c r="E81" s="53">
        <f>ABS(SUMPRODUCT(dados!E:E,-(dados!$B:$B=$B81),-(dados!$C:$C&lt;=$C81)))</f>
        <v>320999</v>
      </c>
      <c r="F81" s="53">
        <f>ABS(SUMPRODUCT(dados!F:F,-(dados!$B:$B=$B81),-(dados!$C:$C&lt;=$C81)))</f>
        <v>158370</v>
      </c>
      <c r="G81" s="53">
        <f>ABS(SUMPRODUCT(dados!G:G,-(dados!$B:$B=$B81),-(dados!$C:$C&lt;=$C81)))</f>
        <v>86624</v>
      </c>
    </row>
    <row r="82" spans="1:7" x14ac:dyDescent="0.25">
      <c r="A82" t="str">
        <f>dados!A82</f>
        <v>20047</v>
      </c>
      <c r="B82">
        <f>dados!B82</f>
        <v>2004</v>
      </c>
      <c r="C82">
        <f>dados!C82</f>
        <v>7</v>
      </c>
      <c r="D82" s="26">
        <f>dados!D82</f>
        <v>38169</v>
      </c>
      <c r="E82" s="53">
        <f>ABS(SUMPRODUCT(dados!E:E,-(dados!$B:$B=$B82),-(dados!$C:$C&lt;=$C82)))</f>
        <v>363221</v>
      </c>
      <c r="F82" s="53">
        <f>ABS(SUMPRODUCT(dados!F:F,-(dados!$B:$B=$B82),-(dados!$C:$C&lt;=$C82)))</f>
        <v>179201</v>
      </c>
      <c r="G82" s="53">
        <f>ABS(SUMPRODUCT(dados!G:G,-(dados!$B:$B=$B82),-(dados!$C:$C&lt;=$C82)))</f>
        <v>103045</v>
      </c>
    </row>
    <row r="83" spans="1:7" x14ac:dyDescent="0.25">
      <c r="A83" t="str">
        <f>dados!A83</f>
        <v>20048</v>
      </c>
      <c r="B83">
        <f>dados!B83</f>
        <v>2004</v>
      </c>
      <c r="C83">
        <f>dados!C83</f>
        <v>8</v>
      </c>
      <c r="D83" s="26">
        <f>dados!D83</f>
        <v>38200</v>
      </c>
      <c r="E83" s="53">
        <f>ABS(SUMPRODUCT(dados!E:E,-(dados!$B:$B=$B83),-(dados!$C:$C&lt;=$C83)))</f>
        <v>418151</v>
      </c>
      <c r="F83" s="53">
        <f>ABS(SUMPRODUCT(dados!F:F,-(dados!$B:$B=$B83),-(dados!$C:$C&lt;=$C83)))</f>
        <v>206301</v>
      </c>
      <c r="G83" s="53">
        <f>ABS(SUMPRODUCT(dados!G:G,-(dados!$B:$B=$B83),-(dados!$C:$C&lt;=$C83)))</f>
        <v>120261</v>
      </c>
    </row>
    <row r="84" spans="1:7" x14ac:dyDescent="0.25">
      <c r="A84" t="str">
        <f>dados!A84</f>
        <v>20049</v>
      </c>
      <c r="B84">
        <f>dados!B84</f>
        <v>2004</v>
      </c>
      <c r="C84">
        <f>dados!C84</f>
        <v>9</v>
      </c>
      <c r="D84" s="26">
        <f>dados!D84</f>
        <v>38231</v>
      </c>
      <c r="E84" s="53">
        <f>ABS(SUMPRODUCT(dados!E:E,-(dados!$B:$B=$B84),-(dados!$C:$C&lt;=$C84)))</f>
        <v>465718</v>
      </c>
      <c r="F84" s="53">
        <f>ABS(SUMPRODUCT(dados!F:F,-(dados!$B:$B=$B84),-(dados!$C:$C&lt;=$C84)))</f>
        <v>229769</v>
      </c>
      <c r="G84" s="53">
        <f>ABS(SUMPRODUCT(dados!G:G,-(dados!$B:$B=$B84),-(dados!$C:$C&lt;=$C84)))</f>
        <v>136766</v>
      </c>
    </row>
    <row r="85" spans="1:7" x14ac:dyDescent="0.25">
      <c r="A85" t="str">
        <f>dados!A85</f>
        <v>200410</v>
      </c>
      <c r="B85">
        <f>dados!B85</f>
        <v>2004</v>
      </c>
      <c r="C85">
        <f>dados!C85</f>
        <v>10</v>
      </c>
      <c r="D85" s="26">
        <f>dados!D85</f>
        <v>38261</v>
      </c>
      <c r="E85" s="53">
        <f>ABS(SUMPRODUCT(dados!E:E,-(dados!$B:$B=$B85),-(dados!$C:$C&lt;=$C85)))</f>
        <v>516622</v>
      </c>
      <c r="F85" s="53">
        <f>ABS(SUMPRODUCT(dados!F:F,-(dados!$B:$B=$B85),-(dados!$C:$C&lt;=$C85)))</f>
        <v>254883</v>
      </c>
      <c r="G85" s="53">
        <f>ABS(SUMPRODUCT(dados!G:G,-(dados!$B:$B=$B85),-(dados!$C:$C&lt;=$C85)))</f>
        <v>154076</v>
      </c>
    </row>
    <row r="86" spans="1:7" x14ac:dyDescent="0.25">
      <c r="A86" t="str">
        <f>dados!A86</f>
        <v>200411</v>
      </c>
      <c r="B86">
        <f>dados!B86</f>
        <v>2004</v>
      </c>
      <c r="C86">
        <f>dados!C86</f>
        <v>11</v>
      </c>
      <c r="D86" s="26">
        <f>dados!D86</f>
        <v>38292</v>
      </c>
      <c r="E86" s="53">
        <f>ABS(SUMPRODUCT(dados!E:E,-(dados!$B:$B=$B86),-(dados!$C:$C&lt;=$C86)))</f>
        <v>567368</v>
      </c>
      <c r="F86" s="53">
        <f>ABS(SUMPRODUCT(dados!F:F,-(dados!$B:$B=$B86),-(dados!$C:$C&lt;=$C86)))</f>
        <v>279919</v>
      </c>
      <c r="G86" s="53">
        <f>ABS(SUMPRODUCT(dados!G:G,-(dados!$B:$B=$B86),-(dados!$C:$C&lt;=$C86)))</f>
        <v>171194</v>
      </c>
    </row>
    <row r="87" spans="1:7" x14ac:dyDescent="0.25">
      <c r="A87" t="str">
        <f>dados!A87</f>
        <v>200412</v>
      </c>
      <c r="B87">
        <f>dados!B87</f>
        <v>2004</v>
      </c>
      <c r="C87">
        <f>dados!C87</f>
        <v>12</v>
      </c>
      <c r="D87" s="26">
        <f>dados!D87</f>
        <v>38322</v>
      </c>
      <c r="E87" s="53">
        <f>ABS(SUMPRODUCT(dados!E:E,-(dados!$B:$B=$B87),-(dados!$C:$C&lt;=$C87)))</f>
        <v>630001</v>
      </c>
      <c r="F87" s="53">
        <f>ABS(SUMPRODUCT(dados!F:F,-(dados!$B:$B=$B87),-(dados!$C:$C&lt;=$C87)))</f>
        <v>310820</v>
      </c>
      <c r="G87" s="53">
        <f>ABS(SUMPRODUCT(dados!G:G,-(dados!$B:$B=$B87),-(dados!$C:$C&lt;=$C87)))</f>
        <v>188630</v>
      </c>
    </row>
    <row r="88" spans="1:7" x14ac:dyDescent="0.25">
      <c r="A88" t="str">
        <f>dados!A88</f>
        <v>20051</v>
      </c>
      <c r="B88">
        <f>dados!B88</f>
        <v>2005</v>
      </c>
      <c r="C88">
        <f>dados!C88</f>
        <v>1</v>
      </c>
      <c r="D88" s="26">
        <f>dados!D88</f>
        <v>38353</v>
      </c>
      <c r="E88" s="53">
        <f>ABS(SUMPRODUCT(dados!E:E,-(dados!$B:$B=$B88),-(dados!$C:$C&lt;=$C88)))</f>
        <v>70308</v>
      </c>
      <c r="F88" s="53">
        <f>ABS(SUMPRODUCT(dados!F:F,-(dados!$B:$B=$B88),-(dados!$C:$C&lt;=$C88)))</f>
        <v>34744.849900000001</v>
      </c>
      <c r="G88" s="53">
        <f>ABS(SUMPRODUCT(dados!G:G,-(dados!$B:$B=$B88),-(dados!$C:$C&lt;=$C88)))</f>
        <v>18415.462019999999</v>
      </c>
    </row>
    <row r="89" spans="1:7" x14ac:dyDescent="0.25">
      <c r="A89" t="str">
        <f>dados!A89</f>
        <v>20052</v>
      </c>
      <c r="B89">
        <f>dados!B89</f>
        <v>2005</v>
      </c>
      <c r="C89">
        <f>dados!C89</f>
        <v>2</v>
      </c>
      <c r="D89" s="26">
        <f>dados!D89</f>
        <v>38384</v>
      </c>
      <c r="E89" s="53">
        <f>ABS(SUMPRODUCT(dados!E:E,-(dados!$B:$B=$B89),-(dados!$C:$C&lt;=$C89)))</f>
        <v>131855</v>
      </c>
      <c r="F89" s="53">
        <f>ABS(SUMPRODUCT(dados!F:F,-(dados!$B:$B=$B89),-(dados!$C:$C&lt;=$C89)))</f>
        <v>65160.303320000006</v>
      </c>
      <c r="G89" s="53">
        <f>ABS(SUMPRODUCT(dados!G:G,-(dados!$B:$B=$B89),-(dados!$C:$C&lt;=$C89)))</f>
        <v>34095.419040000001</v>
      </c>
    </row>
    <row r="90" spans="1:7" x14ac:dyDescent="0.25">
      <c r="A90" t="str">
        <f>dados!A90</f>
        <v>20053</v>
      </c>
      <c r="B90">
        <f>dados!B90</f>
        <v>2005</v>
      </c>
      <c r="C90">
        <f>dados!C90</f>
        <v>3</v>
      </c>
      <c r="D90" s="26">
        <f>dados!D90</f>
        <v>38412</v>
      </c>
      <c r="E90" s="53">
        <f>ABS(SUMPRODUCT(dados!E:E,-(dados!$B:$B=$B90),-(dados!$C:$C&lt;=$C90)))</f>
        <v>181882</v>
      </c>
      <c r="F90" s="53">
        <f>ABS(SUMPRODUCT(dados!F:F,-(dados!$B:$B=$B90),-(dados!$C:$C&lt;=$C90)))</f>
        <v>94330.303320000006</v>
      </c>
      <c r="G90" s="53">
        <f>ABS(SUMPRODUCT(dados!G:G,-(dados!$B:$B=$B90),-(dados!$C:$C&lt;=$C90)))</f>
        <v>49776.419040000001</v>
      </c>
    </row>
    <row r="91" spans="1:7" x14ac:dyDescent="0.25">
      <c r="A91" t="str">
        <f>dados!A91</f>
        <v>20054</v>
      </c>
      <c r="B91">
        <f>dados!B91</f>
        <v>2005</v>
      </c>
      <c r="C91">
        <f>dados!C91</f>
        <v>4</v>
      </c>
      <c r="D91" s="26">
        <f>dados!D91</f>
        <v>38443</v>
      </c>
      <c r="E91" s="53">
        <f>ABS(SUMPRODUCT(dados!E:E,-(dados!$B:$B=$B91),-(dados!$C:$C&lt;=$C91)))</f>
        <v>245969</v>
      </c>
      <c r="F91" s="53">
        <f>ABS(SUMPRODUCT(dados!F:F,-(dados!$B:$B=$B91),-(dados!$C:$C&lt;=$C91)))</f>
        <v>126001.30332000001</v>
      </c>
      <c r="G91" s="53">
        <f>ABS(SUMPRODUCT(dados!G:G,-(dados!$B:$B=$B91),-(dados!$C:$C&lt;=$C91)))</f>
        <v>67923.419040000008</v>
      </c>
    </row>
    <row r="92" spans="1:7" x14ac:dyDescent="0.25">
      <c r="A92" t="str">
        <f>dados!A92</f>
        <v>20055</v>
      </c>
      <c r="B92">
        <f>dados!B92</f>
        <v>2005</v>
      </c>
      <c r="C92">
        <f>dados!C92</f>
        <v>5</v>
      </c>
      <c r="D92" s="26">
        <f>dados!D92</f>
        <v>38473</v>
      </c>
      <c r="E92" s="53">
        <f>ABS(SUMPRODUCT(dados!E:E,-(dados!$B:$B=$B92),-(dados!$C:$C&lt;=$C92)))</f>
        <v>318305</v>
      </c>
      <c r="F92" s="53">
        <f>ABS(SUMPRODUCT(dados!F:F,-(dados!$B:$B=$B92),-(dados!$C:$C&lt;=$C92)))</f>
        <v>161748.30332000001</v>
      </c>
      <c r="G92" s="53">
        <f>ABS(SUMPRODUCT(dados!G:G,-(dados!$B:$B=$B92),-(dados!$C:$C&lt;=$C92)))</f>
        <v>85622.419040000008</v>
      </c>
    </row>
    <row r="93" spans="1:7" x14ac:dyDescent="0.25">
      <c r="A93" t="str">
        <f>dados!A93</f>
        <v>20056</v>
      </c>
      <c r="B93">
        <f>dados!B93</f>
        <v>2005</v>
      </c>
      <c r="C93">
        <f>dados!C93</f>
        <v>6</v>
      </c>
      <c r="D93" s="26">
        <f>dados!D93</f>
        <v>38504</v>
      </c>
      <c r="E93" s="53">
        <f>ABS(SUMPRODUCT(dados!E:E,-(dados!$B:$B=$B93),-(dados!$C:$C&lt;=$C93)))</f>
        <v>388387</v>
      </c>
      <c r="F93" s="53">
        <f>ABS(SUMPRODUCT(dados!F:F,-(dados!$B:$B=$B93),-(dados!$C:$C&lt;=$C93)))</f>
        <v>196381.30332000001</v>
      </c>
      <c r="G93" s="53">
        <f>ABS(SUMPRODUCT(dados!G:G,-(dados!$B:$B=$B93),-(dados!$C:$C&lt;=$C93)))</f>
        <v>100322.41904000001</v>
      </c>
    </row>
    <row r="94" spans="1:7" x14ac:dyDescent="0.25">
      <c r="A94" t="str">
        <f>dados!A94</f>
        <v>20057</v>
      </c>
      <c r="B94">
        <f>dados!B94</f>
        <v>2005</v>
      </c>
      <c r="C94">
        <f>dados!C94</f>
        <v>7</v>
      </c>
      <c r="D94" s="26">
        <f>dados!D94</f>
        <v>38534</v>
      </c>
      <c r="E94" s="53">
        <f>ABS(SUMPRODUCT(dados!E:E,-(dados!$B:$B=$B94),-(dados!$C:$C&lt;=$C94)))</f>
        <v>445936</v>
      </c>
      <c r="F94" s="53">
        <f>ABS(SUMPRODUCT(dados!F:F,-(dados!$B:$B=$B94),-(dados!$C:$C&lt;=$C94)))</f>
        <v>224821.30332000001</v>
      </c>
      <c r="G94" s="53">
        <f>ABS(SUMPRODUCT(dados!G:G,-(dados!$B:$B=$B94),-(dados!$C:$C&lt;=$C94)))</f>
        <v>115299.41904000001</v>
      </c>
    </row>
    <row r="95" spans="1:7" x14ac:dyDescent="0.25">
      <c r="A95" t="str">
        <f>dados!A95</f>
        <v>20058</v>
      </c>
      <c r="B95">
        <f>dados!B95</f>
        <v>2005</v>
      </c>
      <c r="C95">
        <f>dados!C95</f>
        <v>8</v>
      </c>
      <c r="D95" s="26">
        <f>dados!D95</f>
        <v>38565</v>
      </c>
      <c r="E95" s="53">
        <f>ABS(SUMPRODUCT(dados!E:E,-(dados!$B:$B=$B95),-(dados!$C:$C&lt;=$C95)))</f>
        <v>505145</v>
      </c>
      <c r="F95" s="53">
        <f>ABS(SUMPRODUCT(dados!F:F,-(dados!$B:$B=$B95),-(dados!$C:$C&lt;=$C95)))</f>
        <v>254081.30332000001</v>
      </c>
      <c r="G95" s="53">
        <f>ABS(SUMPRODUCT(dados!G:G,-(dados!$B:$B=$B95),-(dados!$C:$C&lt;=$C95)))</f>
        <v>133827.41904000001</v>
      </c>
    </row>
    <row r="96" spans="1:7" x14ac:dyDescent="0.25">
      <c r="A96" t="str">
        <f>dados!A96</f>
        <v>20059</v>
      </c>
      <c r="B96">
        <f>dados!B96</f>
        <v>2005</v>
      </c>
      <c r="C96">
        <f>dados!C96</f>
        <v>9</v>
      </c>
      <c r="D96" s="26">
        <f>dados!D96</f>
        <v>38596</v>
      </c>
      <c r="E96" s="53">
        <f>ABS(SUMPRODUCT(dados!E:E,-(dados!$B:$B=$B96),-(dados!$C:$C&lt;=$C96)))</f>
        <v>554603</v>
      </c>
      <c r="F96" s="53">
        <f>ABS(SUMPRODUCT(dados!F:F,-(dados!$B:$B=$B96),-(dados!$C:$C&lt;=$C96)))</f>
        <v>278522.30332000001</v>
      </c>
      <c r="G96" s="53">
        <f>ABS(SUMPRODUCT(dados!G:G,-(dados!$B:$B=$B96),-(dados!$C:$C&lt;=$C96)))</f>
        <v>151993.41904000001</v>
      </c>
    </row>
    <row r="97" spans="1:7" x14ac:dyDescent="0.25">
      <c r="A97" t="str">
        <f>dados!A97</f>
        <v>200510</v>
      </c>
      <c r="B97">
        <f>dados!B97</f>
        <v>2005</v>
      </c>
      <c r="C97">
        <f>dados!C97</f>
        <v>10</v>
      </c>
      <c r="D97" s="26">
        <f>dados!D97</f>
        <v>38626</v>
      </c>
      <c r="E97" s="53">
        <f>ABS(SUMPRODUCT(dados!E:E,-(dados!$B:$B=$B97),-(dados!$C:$C&lt;=$C97)))</f>
        <v>611875</v>
      </c>
      <c r="F97" s="53">
        <f>ABS(SUMPRODUCT(dados!F:F,-(dados!$B:$B=$B97),-(dados!$C:$C&lt;=$C97)))</f>
        <v>306825.30332000001</v>
      </c>
      <c r="G97" s="53">
        <f>ABS(SUMPRODUCT(dados!G:G,-(dados!$B:$B=$B97),-(dados!$C:$C&lt;=$C97)))</f>
        <v>171649.41904000001</v>
      </c>
    </row>
    <row r="98" spans="1:7" x14ac:dyDescent="0.25">
      <c r="A98" t="str">
        <f>dados!A98</f>
        <v>200511</v>
      </c>
      <c r="B98">
        <f>dados!B98</f>
        <v>2005</v>
      </c>
      <c r="C98">
        <f>dados!C98</f>
        <v>11</v>
      </c>
      <c r="D98" s="26">
        <f>dados!D98</f>
        <v>38657</v>
      </c>
      <c r="E98" s="53">
        <f>ABS(SUMPRODUCT(dados!E:E,-(dados!$B:$B=$B98),-(dados!$C:$C&lt;=$C98)))</f>
        <v>681107</v>
      </c>
      <c r="F98" s="53">
        <f>ABS(SUMPRODUCT(dados!F:F,-(dados!$B:$B=$B98),-(dados!$C:$C&lt;=$C98)))</f>
        <v>341038.30332000001</v>
      </c>
      <c r="G98" s="53">
        <f>ABS(SUMPRODUCT(dados!G:G,-(dados!$B:$B=$B98),-(dados!$C:$C&lt;=$C98)))</f>
        <v>191995.41904000001</v>
      </c>
    </row>
    <row r="99" spans="1:7" x14ac:dyDescent="0.25">
      <c r="A99" t="str">
        <f>dados!A99</f>
        <v>200512</v>
      </c>
      <c r="B99">
        <f>dados!B99</f>
        <v>2005</v>
      </c>
      <c r="C99">
        <f>dados!C99</f>
        <v>12</v>
      </c>
      <c r="D99" s="26">
        <f>dados!D99</f>
        <v>38687</v>
      </c>
      <c r="E99" s="53">
        <f>ABS(SUMPRODUCT(dados!E:E,-(dados!$B:$B=$B99),-(dados!$C:$C&lt;=$C99)))</f>
        <v>778177</v>
      </c>
      <c r="F99" s="53">
        <f>ABS(SUMPRODUCT(dados!F:F,-(dados!$B:$B=$B99),-(dados!$C:$C&lt;=$C99)))</f>
        <v>389005.30332000001</v>
      </c>
      <c r="G99" s="53">
        <f>ABS(SUMPRODUCT(dados!G:G,-(dados!$B:$B=$B99),-(dados!$C:$C&lt;=$C99)))</f>
        <v>214387.41904000001</v>
      </c>
    </row>
    <row r="100" spans="1:7" x14ac:dyDescent="0.25">
      <c r="A100" t="str">
        <f>dados!A100</f>
        <v>20061</v>
      </c>
      <c r="B100">
        <f>dados!B100</f>
        <v>2006</v>
      </c>
      <c r="C100">
        <f>dados!C100</f>
        <v>1</v>
      </c>
      <c r="D100" s="26">
        <f>dados!D100</f>
        <v>38718</v>
      </c>
      <c r="E100" s="53">
        <f>ABS(SUMPRODUCT(dados!E:E,-(dados!$B:$B=$B100),-(dados!$C:$C&lt;=$C100)))</f>
        <v>78530</v>
      </c>
      <c r="F100" s="53">
        <f>ABS(SUMPRODUCT(dados!F:F,-(dados!$B:$B=$B100),-(dados!$C:$C&lt;=$C100)))</f>
        <v>39374</v>
      </c>
      <c r="G100" s="53">
        <f>ABS(SUMPRODUCT(dados!G:G,-(dados!$B:$B=$B100),-(dados!$C:$C&lt;=$C100)))</f>
        <v>21272</v>
      </c>
    </row>
    <row r="101" spans="1:7" x14ac:dyDescent="0.25">
      <c r="A101" t="str">
        <f>dados!A101</f>
        <v>20062</v>
      </c>
      <c r="B101">
        <f>dados!B101</f>
        <v>2006</v>
      </c>
      <c r="C101">
        <f>dados!C101</f>
        <v>2</v>
      </c>
      <c r="D101" s="26">
        <f>dados!D101</f>
        <v>38749</v>
      </c>
      <c r="E101" s="53">
        <f>ABS(SUMPRODUCT(dados!E:E,-(dados!$B:$B=$B101),-(dados!$C:$C&lt;=$C101)))</f>
        <v>146072</v>
      </c>
      <c r="F101" s="53">
        <f>ABS(SUMPRODUCT(dados!F:F,-(dados!$B:$B=$B101),-(dados!$C:$C&lt;=$C101)))</f>
        <v>73239</v>
      </c>
      <c r="G101" s="53">
        <f>ABS(SUMPRODUCT(dados!G:G,-(dados!$B:$B=$B101),-(dados!$C:$C&lt;=$C101)))</f>
        <v>39274</v>
      </c>
    </row>
    <row r="102" spans="1:7" x14ac:dyDescent="0.25">
      <c r="A102" t="str">
        <f>dados!A102</f>
        <v>20063</v>
      </c>
      <c r="B102">
        <f>dados!B102</f>
        <v>2006</v>
      </c>
      <c r="C102">
        <f>dados!C102</f>
        <v>3</v>
      </c>
      <c r="D102" s="26">
        <f>dados!D102</f>
        <v>38777</v>
      </c>
      <c r="E102" s="53">
        <f>ABS(SUMPRODUCT(dados!E:E,-(dados!$B:$B=$B102),-(dados!$C:$C&lt;=$C102)))</f>
        <v>210515</v>
      </c>
      <c r="F102" s="53">
        <f>ABS(SUMPRODUCT(dados!F:F,-(dados!$B:$B=$B102),-(dados!$C:$C&lt;=$C102)))</f>
        <v>105233</v>
      </c>
      <c r="G102" s="53">
        <f>ABS(SUMPRODUCT(dados!G:G,-(dados!$B:$B=$B102),-(dados!$C:$C&lt;=$C102)))</f>
        <v>57571</v>
      </c>
    </row>
    <row r="103" spans="1:7" x14ac:dyDescent="0.25">
      <c r="A103" t="str">
        <f>dados!A103</f>
        <v>20064</v>
      </c>
      <c r="B103">
        <f>dados!B103</f>
        <v>2006</v>
      </c>
      <c r="C103">
        <f>dados!C103</f>
        <v>4</v>
      </c>
      <c r="D103" s="26">
        <f>dados!D103</f>
        <v>38808</v>
      </c>
      <c r="E103" s="53">
        <f>ABS(SUMPRODUCT(dados!E:E,-(dados!$B:$B=$B103),-(dados!$C:$C&lt;=$C103)))</f>
        <v>283029</v>
      </c>
      <c r="F103" s="53">
        <f>ABS(SUMPRODUCT(dados!F:F,-(dados!$B:$B=$B103),-(dados!$C:$C&lt;=$C103)))</f>
        <v>141253</v>
      </c>
      <c r="G103" s="53">
        <f>ABS(SUMPRODUCT(dados!G:G,-(dados!$B:$B=$B103),-(dados!$C:$C&lt;=$C103)))</f>
        <v>78738</v>
      </c>
    </row>
    <row r="104" spans="1:7" x14ac:dyDescent="0.25">
      <c r="A104" t="str">
        <f>dados!A104</f>
        <v>20065</v>
      </c>
      <c r="B104">
        <f>dados!B104</f>
        <v>2006</v>
      </c>
      <c r="C104">
        <f>dados!C104</f>
        <v>5</v>
      </c>
      <c r="D104" s="26">
        <f>dados!D104</f>
        <v>38838</v>
      </c>
      <c r="E104" s="53">
        <f>ABS(SUMPRODUCT(dados!E:E,-(dados!$B:$B=$B104),-(dados!$C:$C&lt;=$C104)))</f>
        <v>362612</v>
      </c>
      <c r="F104" s="53">
        <f>ABS(SUMPRODUCT(dados!F:F,-(dados!$B:$B=$B104),-(dados!$C:$C&lt;=$C104)))</f>
        <v>180784</v>
      </c>
      <c r="G104" s="53">
        <f>ABS(SUMPRODUCT(dados!G:G,-(dados!$B:$B=$B104),-(dados!$C:$C&lt;=$C104)))</f>
        <v>97430</v>
      </c>
    </row>
    <row r="105" spans="1:7" x14ac:dyDescent="0.25">
      <c r="A105" t="str">
        <f>dados!A105</f>
        <v>20066</v>
      </c>
      <c r="B105">
        <f>dados!B105</f>
        <v>2006</v>
      </c>
      <c r="C105">
        <f>dados!C105</f>
        <v>6</v>
      </c>
      <c r="D105" s="26">
        <f>dados!D105</f>
        <v>38869</v>
      </c>
      <c r="E105" s="53">
        <f>ABS(SUMPRODUCT(dados!E:E,-(dados!$B:$B=$B105),-(dados!$C:$C&lt;=$C105)))</f>
        <v>440061</v>
      </c>
      <c r="F105" s="53">
        <f>ABS(SUMPRODUCT(dados!F:F,-(dados!$B:$B=$B105),-(dados!$C:$C&lt;=$C105)))</f>
        <v>219255</v>
      </c>
      <c r="G105" s="53">
        <f>ABS(SUMPRODUCT(dados!G:G,-(dados!$B:$B=$B105),-(dados!$C:$C&lt;=$C105)))</f>
        <v>119151</v>
      </c>
    </row>
    <row r="106" spans="1:7" x14ac:dyDescent="0.25">
      <c r="A106" t="str">
        <f>dados!A106</f>
        <v>20067</v>
      </c>
      <c r="B106">
        <f>dados!B106</f>
        <v>2006</v>
      </c>
      <c r="C106">
        <f>dados!C106</f>
        <v>7</v>
      </c>
      <c r="D106" s="26">
        <f>dados!D106</f>
        <v>38899</v>
      </c>
      <c r="E106" s="53">
        <f>ABS(SUMPRODUCT(dados!E:E,-(dados!$B:$B=$B106),-(dados!$C:$C&lt;=$C106)))</f>
        <v>509475</v>
      </c>
      <c r="F106" s="53">
        <f>ABS(SUMPRODUCT(dados!F:F,-(dados!$B:$B=$B106),-(dados!$C:$C&lt;=$C106)))</f>
        <v>253727</v>
      </c>
      <c r="G106" s="53">
        <f>ABS(SUMPRODUCT(dados!G:G,-(dados!$B:$B=$B106),-(dados!$C:$C&lt;=$C106)))</f>
        <v>139926</v>
      </c>
    </row>
    <row r="107" spans="1:7" x14ac:dyDescent="0.25">
      <c r="A107" t="str">
        <f>dados!A107</f>
        <v>20068</v>
      </c>
      <c r="B107">
        <f>dados!B107</f>
        <v>2006</v>
      </c>
      <c r="C107">
        <f>dados!C107</f>
        <v>8</v>
      </c>
      <c r="D107" s="26">
        <f>dados!D107</f>
        <v>38930</v>
      </c>
      <c r="E107" s="53">
        <f>ABS(SUMPRODUCT(dados!E:E,-(dados!$B:$B=$B107),-(dados!$C:$C&lt;=$C107)))</f>
        <v>579689</v>
      </c>
      <c r="F107" s="53">
        <f>ABS(SUMPRODUCT(dados!F:F,-(dados!$B:$B=$B107),-(dados!$C:$C&lt;=$C107)))</f>
        <v>288604</v>
      </c>
      <c r="G107" s="53">
        <f>ABS(SUMPRODUCT(dados!G:G,-(dados!$B:$B=$B107),-(dados!$C:$C&lt;=$C107)))</f>
        <v>161326</v>
      </c>
    </row>
    <row r="108" spans="1:7" x14ac:dyDescent="0.25">
      <c r="A108" t="str">
        <f>dados!A108</f>
        <v>20069</v>
      </c>
      <c r="B108">
        <f>dados!B108</f>
        <v>2006</v>
      </c>
      <c r="C108">
        <f>dados!C108</f>
        <v>9</v>
      </c>
      <c r="D108" s="26">
        <f>dados!D108</f>
        <v>38961</v>
      </c>
      <c r="E108" s="53">
        <f>ABS(SUMPRODUCT(dados!E:E,-(dados!$B:$B=$B108),-(dados!$C:$C&lt;=$C108)))</f>
        <v>644899</v>
      </c>
      <c r="F108" s="53">
        <f>ABS(SUMPRODUCT(dados!F:F,-(dados!$B:$B=$B108),-(dados!$C:$C&lt;=$C108)))</f>
        <v>321008</v>
      </c>
      <c r="G108" s="53">
        <f>ABS(SUMPRODUCT(dados!G:G,-(dados!$B:$B=$B108),-(dados!$C:$C&lt;=$C108)))</f>
        <v>188893</v>
      </c>
    </row>
    <row r="109" spans="1:7" x14ac:dyDescent="0.25">
      <c r="A109" t="str">
        <f>dados!A109</f>
        <v>200610</v>
      </c>
      <c r="B109">
        <f>dados!B109</f>
        <v>2006</v>
      </c>
      <c r="C109">
        <f>dados!C109</f>
        <v>10</v>
      </c>
      <c r="D109" s="26">
        <f>dados!D109</f>
        <v>38991</v>
      </c>
      <c r="E109" s="53">
        <f>ABS(SUMPRODUCT(dados!E:E,-(dados!$B:$B=$B109),-(dados!$C:$C&lt;=$C109)))</f>
        <v>703942</v>
      </c>
      <c r="F109" s="53">
        <f>ABS(SUMPRODUCT(dados!F:F,-(dados!$B:$B=$B109),-(dados!$C:$C&lt;=$C109)))</f>
        <v>350373</v>
      </c>
      <c r="G109" s="53">
        <f>ABS(SUMPRODUCT(dados!G:G,-(dados!$B:$B=$B109),-(dados!$C:$C&lt;=$C109)))</f>
        <v>212172</v>
      </c>
    </row>
    <row r="110" spans="1:7" x14ac:dyDescent="0.25">
      <c r="A110" t="str">
        <f>dados!A110</f>
        <v>200611</v>
      </c>
      <c r="B110">
        <f>dados!B110</f>
        <v>2006</v>
      </c>
      <c r="C110">
        <f>dados!C110</f>
        <v>11</v>
      </c>
      <c r="D110" s="26">
        <f>dados!D110</f>
        <v>39022</v>
      </c>
      <c r="E110" s="53">
        <f>ABS(SUMPRODUCT(dados!E:E,-(dados!$B:$B=$B110),-(dados!$C:$C&lt;=$C110)))</f>
        <v>777375</v>
      </c>
      <c r="F110" s="53">
        <f>ABS(SUMPRODUCT(dados!F:F,-(dados!$B:$B=$B110),-(dados!$C:$C&lt;=$C110)))</f>
        <v>386540</v>
      </c>
      <c r="G110" s="53">
        <f>ABS(SUMPRODUCT(dados!G:G,-(dados!$B:$B=$B110),-(dados!$C:$C&lt;=$C110)))</f>
        <v>235594</v>
      </c>
    </row>
    <row r="111" spans="1:7" x14ac:dyDescent="0.25">
      <c r="A111" t="str">
        <f>dados!A111</f>
        <v>200612</v>
      </c>
      <c r="B111">
        <f>dados!B111</f>
        <v>2006</v>
      </c>
      <c r="C111">
        <f>dados!C111</f>
        <v>12</v>
      </c>
      <c r="D111" s="26">
        <f>dados!D111</f>
        <v>39052</v>
      </c>
      <c r="E111" s="53">
        <f>ABS(SUMPRODUCT(dados!E:E,-(dados!$B:$B=$B111),-(dados!$C:$C&lt;=$C111)))</f>
        <v>866386</v>
      </c>
      <c r="F111" s="53">
        <f>ABS(SUMPRODUCT(dados!F:F,-(dados!$B:$B=$B111),-(dados!$C:$C&lt;=$C111)))</f>
        <v>430522</v>
      </c>
      <c r="G111" s="53">
        <f>ABS(SUMPRODUCT(dados!G:G,-(dados!$B:$B=$B111),-(dados!$C:$C&lt;=$C111)))</f>
        <v>267231</v>
      </c>
    </row>
    <row r="112" spans="1:7" x14ac:dyDescent="0.25">
      <c r="A112" t="str">
        <f>dados!A112</f>
        <v>20071</v>
      </c>
      <c r="B112">
        <f>dados!B112</f>
        <v>2007</v>
      </c>
      <c r="C112">
        <f>dados!C112</f>
        <v>1</v>
      </c>
      <c r="D112" s="26">
        <f>dados!D112</f>
        <v>39083</v>
      </c>
      <c r="E112" s="53">
        <f>ABS(SUMPRODUCT(dados!E:E,-(dados!$B:$B=$B112),-(dados!$C:$C&lt;=$C112)))</f>
        <v>78783.352480000001</v>
      </c>
      <c r="F112" s="53">
        <f>ABS(SUMPRODUCT(dados!F:F,-(dados!$B:$B=$B112),-(dados!$C:$C&lt;=$C112)))</f>
        <v>39130.68374</v>
      </c>
      <c r="G112" s="53">
        <f>ABS(SUMPRODUCT(dados!G:G,-(dados!$B:$B=$B112),-(dados!$C:$C&lt;=$C112)))</f>
        <v>25816.002260000001</v>
      </c>
    </row>
    <row r="113" spans="1:7" x14ac:dyDescent="0.25">
      <c r="A113" t="str">
        <f>dados!A113</f>
        <v>20072</v>
      </c>
      <c r="B113">
        <f>dados!B113</f>
        <v>2007</v>
      </c>
      <c r="C113">
        <f>dados!C113</f>
        <v>2</v>
      </c>
      <c r="D113" s="26">
        <f>dados!D113</f>
        <v>39114</v>
      </c>
      <c r="E113" s="53">
        <f>ABS(SUMPRODUCT(dados!E:E,-(dados!$B:$B=$B113),-(dados!$C:$C&lt;=$C113)))</f>
        <v>163096.50381999998</v>
      </c>
      <c r="F113" s="53">
        <f>ABS(SUMPRODUCT(dados!F:F,-(dados!$B:$B=$B113),-(dados!$C:$C&lt;=$C113)))</f>
        <v>81184.987870000012</v>
      </c>
      <c r="G113" s="53">
        <f>ABS(SUMPRODUCT(dados!G:G,-(dados!$B:$B=$B113),-(dados!$C:$C&lt;=$C113)))</f>
        <v>50819.949770000007</v>
      </c>
    </row>
    <row r="114" spans="1:7" x14ac:dyDescent="0.25">
      <c r="A114" t="str">
        <f>dados!A114</f>
        <v>20073</v>
      </c>
      <c r="B114">
        <f>dados!B114</f>
        <v>2007</v>
      </c>
      <c r="C114">
        <f>dados!C114</f>
        <v>3</v>
      </c>
      <c r="D114" s="26">
        <f>dados!D114</f>
        <v>39142</v>
      </c>
      <c r="E114" s="53">
        <f>ABS(SUMPRODUCT(dados!E:E,-(dados!$B:$B=$B114),-(dados!$C:$C&lt;=$C114)))</f>
        <v>231670.49173999997</v>
      </c>
      <c r="F114" s="53">
        <f>ABS(SUMPRODUCT(dados!F:F,-(dados!$B:$B=$B114),-(dados!$C:$C&lt;=$C114)))</f>
        <v>115388.80136000001</v>
      </c>
      <c r="G114" s="53">
        <f>ABS(SUMPRODUCT(dados!G:G,-(dados!$B:$B=$B114),-(dados!$C:$C&lt;=$C114)))</f>
        <v>73660.824390000009</v>
      </c>
    </row>
    <row r="115" spans="1:7" x14ac:dyDescent="0.25">
      <c r="A115" t="str">
        <f>dados!A115</f>
        <v>20074</v>
      </c>
      <c r="B115">
        <f>dados!B115</f>
        <v>2007</v>
      </c>
      <c r="C115">
        <f>dados!C115</f>
        <v>4</v>
      </c>
      <c r="D115" s="26">
        <f>dados!D115</f>
        <v>39173</v>
      </c>
      <c r="E115" s="53">
        <f>ABS(SUMPRODUCT(dados!E:E,-(dados!$B:$B=$B115),-(dados!$C:$C&lt;=$C115)))</f>
        <v>313652.49173999997</v>
      </c>
      <c r="F115" s="53">
        <f>ABS(SUMPRODUCT(dados!F:F,-(dados!$B:$B=$B115),-(dados!$C:$C&lt;=$C115)))</f>
        <v>156283.80136000001</v>
      </c>
      <c r="G115" s="53">
        <f>ABS(SUMPRODUCT(dados!G:G,-(dados!$B:$B=$B115),-(dados!$C:$C&lt;=$C115)))</f>
        <v>99674.824390000009</v>
      </c>
    </row>
    <row r="116" spans="1:7" x14ac:dyDescent="0.25">
      <c r="A116" t="str">
        <f>dados!A116</f>
        <v>20075</v>
      </c>
      <c r="B116">
        <f>dados!B116</f>
        <v>2007</v>
      </c>
      <c r="C116">
        <f>dados!C116</f>
        <v>5</v>
      </c>
      <c r="D116" s="26">
        <f>dados!D116</f>
        <v>39203</v>
      </c>
      <c r="E116" s="53">
        <f>ABS(SUMPRODUCT(dados!E:E,-(dados!$B:$B=$B116),-(dados!$C:$C&lt;=$C116)))</f>
        <v>401476.23604999995</v>
      </c>
      <c r="F116" s="53">
        <f>ABS(SUMPRODUCT(dados!F:F,-(dados!$B:$B=$B116),-(dados!$C:$C&lt;=$C116)))</f>
        <v>200128.39191000001</v>
      </c>
      <c r="G116" s="53">
        <f>ABS(SUMPRODUCT(dados!G:G,-(dados!$B:$B=$B116),-(dados!$C:$C&lt;=$C116)))</f>
        <v>125573.91105000001</v>
      </c>
    </row>
    <row r="117" spans="1:7" x14ac:dyDescent="0.25">
      <c r="A117" t="str">
        <f>dados!A117</f>
        <v>20076</v>
      </c>
      <c r="B117">
        <f>dados!B117</f>
        <v>2007</v>
      </c>
      <c r="C117">
        <f>dados!C117</f>
        <v>6</v>
      </c>
      <c r="D117" s="26">
        <f>dados!D117</f>
        <v>39234</v>
      </c>
      <c r="E117" s="53">
        <f>ABS(SUMPRODUCT(dados!E:E,-(dados!$B:$B=$B117),-(dados!$C:$C&lt;=$C117)))</f>
        <v>491194.53007999994</v>
      </c>
      <c r="F117" s="53">
        <f>ABS(SUMPRODUCT(dados!F:F,-(dados!$B:$B=$B117),-(dados!$C:$C&lt;=$C117)))</f>
        <v>244918.80623000002</v>
      </c>
      <c r="G117" s="53">
        <f>ABS(SUMPRODUCT(dados!G:G,-(dados!$B:$B=$B117),-(dados!$C:$C&lt;=$C117)))</f>
        <v>153157.44806000002</v>
      </c>
    </row>
    <row r="118" spans="1:7" x14ac:dyDescent="0.25">
      <c r="A118" t="str">
        <f>dados!A118</f>
        <v>20077</v>
      </c>
      <c r="B118">
        <f>dados!B118</f>
        <v>2007</v>
      </c>
      <c r="C118">
        <f>dados!C118</f>
        <v>7</v>
      </c>
      <c r="D118" s="26">
        <f>dados!D118</f>
        <v>39264</v>
      </c>
      <c r="E118" s="53">
        <f>ABS(SUMPRODUCT(dados!E:E,-(dados!$B:$B=$B118),-(dados!$C:$C&lt;=$C118)))</f>
        <v>560967.1476299999</v>
      </c>
      <c r="F118" s="53">
        <f>ABS(SUMPRODUCT(dados!F:F,-(dados!$B:$B=$B118),-(dados!$C:$C&lt;=$C118)))</f>
        <v>279751.66185999999</v>
      </c>
      <c r="G118" s="53">
        <f>ABS(SUMPRODUCT(dados!G:G,-(dados!$B:$B=$B118),-(dados!$C:$C&lt;=$C118)))</f>
        <v>181403.42946000001</v>
      </c>
    </row>
    <row r="119" spans="1:7" x14ac:dyDescent="0.25">
      <c r="A119" t="str">
        <f>dados!A119</f>
        <v>20078</v>
      </c>
      <c r="B119">
        <f>dados!B119</f>
        <v>2007</v>
      </c>
      <c r="C119">
        <f>dados!C119</f>
        <v>8</v>
      </c>
      <c r="D119" s="26">
        <f>dados!D119</f>
        <v>39295</v>
      </c>
      <c r="E119" s="53">
        <f>ABS(SUMPRODUCT(dados!E:E,-(dados!$B:$B=$B119),-(dados!$C:$C&lt;=$C119)))</f>
        <v>634589.1476299999</v>
      </c>
      <c r="F119" s="53">
        <f>ABS(SUMPRODUCT(dados!F:F,-(dados!$B:$B=$B119),-(dados!$C:$C&lt;=$C119)))</f>
        <v>316505.66185999999</v>
      </c>
      <c r="G119" s="53">
        <f>ABS(SUMPRODUCT(dados!G:G,-(dados!$B:$B=$B119),-(dados!$C:$C&lt;=$C119)))</f>
        <v>209318.42946000001</v>
      </c>
    </row>
    <row r="120" spans="1:7" x14ac:dyDescent="0.25">
      <c r="A120" t="str">
        <f>dados!A120</f>
        <v>20079</v>
      </c>
      <c r="B120">
        <f>dados!B120</f>
        <v>2007</v>
      </c>
      <c r="C120">
        <f>dados!C120</f>
        <v>9</v>
      </c>
      <c r="D120" s="26">
        <f>dados!D120</f>
        <v>39326</v>
      </c>
      <c r="E120" s="53">
        <f>ABS(SUMPRODUCT(dados!E:E,-(dados!$B:$B=$B120),-(dados!$C:$C&lt;=$C120)))</f>
        <v>710407.1476299999</v>
      </c>
      <c r="F120" s="53">
        <f>ABS(SUMPRODUCT(dados!F:F,-(dados!$B:$B=$B120),-(dados!$C:$C&lt;=$C120)))</f>
        <v>354356.66185999999</v>
      </c>
      <c r="G120" s="53">
        <f>ABS(SUMPRODUCT(dados!G:G,-(dados!$B:$B=$B120),-(dados!$C:$C&lt;=$C120)))</f>
        <v>243916.42946000001</v>
      </c>
    </row>
    <row r="121" spans="1:7" x14ac:dyDescent="0.25">
      <c r="A121" t="str">
        <f>dados!A121</f>
        <v>200710</v>
      </c>
      <c r="B121">
        <f>dados!B121</f>
        <v>2007</v>
      </c>
      <c r="C121">
        <f>dados!C121</f>
        <v>10</v>
      </c>
      <c r="D121" s="26">
        <f>dados!D121</f>
        <v>39356</v>
      </c>
      <c r="E121" s="53">
        <f>ABS(SUMPRODUCT(dados!E:E,-(dados!$B:$B=$B121),-(dados!$C:$C&lt;=$C121)))</f>
        <v>782148.1476299999</v>
      </c>
      <c r="F121" s="53">
        <f>ABS(SUMPRODUCT(dados!F:F,-(dados!$B:$B=$B121),-(dados!$C:$C&lt;=$C121)))</f>
        <v>390171.66185999999</v>
      </c>
      <c r="G121" s="53">
        <f>ABS(SUMPRODUCT(dados!G:G,-(dados!$B:$B=$B121),-(dados!$C:$C&lt;=$C121)))</f>
        <v>277639.42946000001</v>
      </c>
    </row>
    <row r="122" spans="1:7" x14ac:dyDescent="0.25">
      <c r="A122" t="str">
        <f>dados!A122</f>
        <v>200711</v>
      </c>
      <c r="B122">
        <f>dados!B122</f>
        <v>2007</v>
      </c>
      <c r="C122">
        <f>dados!C122</f>
        <v>11</v>
      </c>
      <c r="D122" s="26">
        <f>dados!D122</f>
        <v>39387</v>
      </c>
      <c r="E122" s="53">
        <f>ABS(SUMPRODUCT(dados!E:E,-(dados!$B:$B=$B122),-(dados!$C:$C&lt;=$C122)))</f>
        <v>866263.1476299999</v>
      </c>
      <c r="F122" s="53">
        <f>ABS(SUMPRODUCT(dados!F:F,-(dados!$B:$B=$B122),-(dados!$C:$C&lt;=$C122)))</f>
        <v>432164.66185999999</v>
      </c>
      <c r="G122" s="53">
        <f>ABS(SUMPRODUCT(dados!G:G,-(dados!$B:$B=$B122),-(dados!$C:$C&lt;=$C122)))</f>
        <v>310879.42946000001</v>
      </c>
    </row>
    <row r="123" spans="1:7" x14ac:dyDescent="0.25">
      <c r="A123" t="str">
        <f>dados!A123</f>
        <v>200712</v>
      </c>
      <c r="B123">
        <f>dados!B123</f>
        <v>2007</v>
      </c>
      <c r="C123">
        <f>dados!C123</f>
        <v>12</v>
      </c>
      <c r="D123" s="26">
        <f>dados!D123</f>
        <v>39417</v>
      </c>
      <c r="E123" s="53">
        <f>ABS(SUMPRODUCT(dados!E:E,-(dados!$B:$B=$B123),-(dados!$C:$C&lt;=$C123)))</f>
        <v>992713.1476299999</v>
      </c>
      <c r="F123" s="53">
        <f>ABS(SUMPRODUCT(dados!F:F,-(dados!$B:$B=$B123),-(dados!$C:$C&lt;=$C123)))</f>
        <v>489011.66185999999</v>
      </c>
      <c r="G123" s="53">
        <f>ABS(SUMPRODUCT(dados!G:G,-(dados!$B:$B=$B123),-(dados!$C:$C&lt;=$C123)))</f>
        <v>348084.42946000001</v>
      </c>
    </row>
    <row r="124" spans="1:7" x14ac:dyDescent="0.25">
      <c r="A124" t="str">
        <f>dados!A124</f>
        <v>20081</v>
      </c>
      <c r="B124">
        <f>dados!B124</f>
        <v>2008</v>
      </c>
      <c r="C124">
        <f>dados!C124</f>
        <v>1</v>
      </c>
      <c r="D124" s="26">
        <f>dados!D124</f>
        <v>39448</v>
      </c>
      <c r="E124" s="53">
        <f>ABS(SUMPRODUCT(dados!E:E,-(dados!$B:$B=$B124),-(dados!$C:$C&lt;=$C124)))</f>
        <v>101683</v>
      </c>
      <c r="F124" s="53">
        <f>ABS(SUMPRODUCT(dados!F:F,-(dados!$B:$B=$B124),-(dados!$C:$C&lt;=$C124)))</f>
        <v>50105</v>
      </c>
      <c r="G124" s="53">
        <f>ABS(SUMPRODUCT(dados!G:G,-(dados!$B:$B=$B124),-(dados!$C:$C&lt;=$C124)))</f>
        <v>30926</v>
      </c>
    </row>
    <row r="125" spans="1:7" x14ac:dyDescent="0.25">
      <c r="A125" t="str">
        <f>dados!A125</f>
        <v>20082</v>
      </c>
      <c r="B125">
        <f>dados!B125</f>
        <v>2008</v>
      </c>
      <c r="C125">
        <f>dados!C125</f>
        <v>2</v>
      </c>
      <c r="D125" s="26">
        <f>dados!D125</f>
        <v>39479</v>
      </c>
      <c r="E125" s="53">
        <f>ABS(SUMPRODUCT(dados!E:E,-(dados!$B:$B=$B125),-(dados!$C:$C&lt;=$C125)))</f>
        <v>213018</v>
      </c>
      <c r="F125" s="53">
        <f>ABS(SUMPRODUCT(dados!F:F,-(dados!$B:$B=$B125),-(dados!$C:$C&lt;=$C125)))</f>
        <v>105175</v>
      </c>
      <c r="G125" s="53">
        <f>ABS(SUMPRODUCT(dados!G:G,-(dados!$B:$B=$B125),-(dados!$C:$C&lt;=$C125)))</f>
        <v>64317</v>
      </c>
    </row>
    <row r="126" spans="1:7" x14ac:dyDescent="0.25">
      <c r="A126" t="str">
        <f>dados!A126</f>
        <v>20083</v>
      </c>
      <c r="B126">
        <f>dados!B126</f>
        <v>2008</v>
      </c>
      <c r="C126">
        <f>dados!C126</f>
        <v>3</v>
      </c>
      <c r="D126" s="26">
        <f>dados!D126</f>
        <v>39508</v>
      </c>
      <c r="E126" s="53">
        <f>ABS(SUMPRODUCT(dados!E:E,-(dados!$B:$B=$B126),-(dados!$C:$C&lt;=$C126)))</f>
        <v>300956</v>
      </c>
      <c r="F126" s="53">
        <f>ABS(SUMPRODUCT(dados!F:F,-(dados!$B:$B=$B126),-(dados!$C:$C&lt;=$C126)))</f>
        <v>148551</v>
      </c>
      <c r="G126" s="53">
        <f>ABS(SUMPRODUCT(dados!G:G,-(dados!$B:$B=$B126),-(dados!$C:$C&lt;=$C126)))</f>
        <v>97576</v>
      </c>
    </row>
    <row r="127" spans="1:7" x14ac:dyDescent="0.25">
      <c r="A127" t="str">
        <f>dados!A127</f>
        <v>20084</v>
      </c>
      <c r="B127">
        <f>dados!B127</f>
        <v>2008</v>
      </c>
      <c r="C127">
        <f>dados!C127</f>
        <v>4</v>
      </c>
      <c r="D127" s="26">
        <f>dados!D127</f>
        <v>39539</v>
      </c>
      <c r="E127" s="53">
        <f>ABS(SUMPRODUCT(dados!E:E,-(dados!$B:$B=$B127),-(dados!$C:$C&lt;=$C127)))</f>
        <v>402888</v>
      </c>
      <c r="F127" s="53">
        <f>ABS(SUMPRODUCT(dados!F:F,-(dados!$B:$B=$B127),-(dados!$C:$C&lt;=$C127)))</f>
        <v>198830</v>
      </c>
      <c r="G127" s="53">
        <f>ABS(SUMPRODUCT(dados!G:G,-(dados!$B:$B=$B127),-(dados!$C:$C&lt;=$C127)))</f>
        <v>134203</v>
      </c>
    </row>
    <row r="128" spans="1:7" x14ac:dyDescent="0.25">
      <c r="A128" t="str">
        <f>dados!A128</f>
        <v>20085</v>
      </c>
      <c r="B128">
        <f>dados!B128</f>
        <v>2008</v>
      </c>
      <c r="C128">
        <f>dados!C128</f>
        <v>5</v>
      </c>
      <c r="D128" s="26">
        <f>dados!D128</f>
        <v>39569</v>
      </c>
      <c r="E128" s="53">
        <f>ABS(SUMPRODUCT(dados!E:E,-(dados!$B:$B=$B128),-(dados!$C:$C&lt;=$C128)))</f>
        <v>510137</v>
      </c>
      <c r="F128" s="53">
        <f>ABS(SUMPRODUCT(dados!F:F,-(dados!$B:$B=$B128),-(dados!$C:$C&lt;=$C128)))</f>
        <v>251731</v>
      </c>
      <c r="G128" s="53">
        <f>ABS(SUMPRODUCT(dados!G:G,-(dados!$B:$B=$B128),-(dados!$C:$C&lt;=$C128)))</f>
        <v>171348</v>
      </c>
    </row>
    <row r="129" spans="1:7" x14ac:dyDescent="0.25">
      <c r="A129" t="str">
        <f>dados!A129</f>
        <v>20086</v>
      </c>
      <c r="B129">
        <f>dados!B129</f>
        <v>2008</v>
      </c>
      <c r="C129">
        <f>dados!C129</f>
        <v>6</v>
      </c>
      <c r="D129" s="26">
        <f>dados!D129</f>
        <v>39600</v>
      </c>
      <c r="E129" s="53">
        <f>ABS(SUMPRODUCT(dados!E:E,-(dados!$B:$B=$B129),-(dados!$C:$C&lt;=$C129)))</f>
        <v>602602</v>
      </c>
      <c r="F129" s="53">
        <f>ABS(SUMPRODUCT(dados!F:F,-(dados!$B:$B=$B129),-(dados!$C:$C&lt;=$C129)))</f>
        <v>297340</v>
      </c>
      <c r="G129" s="53">
        <f>ABS(SUMPRODUCT(dados!G:G,-(dados!$B:$B=$B129),-(dados!$C:$C&lt;=$C129)))</f>
        <v>206729</v>
      </c>
    </row>
    <row r="130" spans="1:7" x14ac:dyDescent="0.25">
      <c r="A130" t="str">
        <f>dados!A130</f>
        <v>20087</v>
      </c>
      <c r="B130">
        <f>dados!B130</f>
        <v>2008</v>
      </c>
      <c r="C130">
        <f>dados!C130</f>
        <v>7</v>
      </c>
      <c r="D130" s="26">
        <f>dados!D130</f>
        <v>39630</v>
      </c>
      <c r="E130" s="53">
        <f>ABS(SUMPRODUCT(dados!E:E,-(dados!$B:$B=$B130),-(dados!$C:$C&lt;=$C130)))</f>
        <v>686343</v>
      </c>
      <c r="F130" s="53">
        <f>ABS(SUMPRODUCT(dados!F:F,-(dados!$B:$B=$B130),-(dados!$C:$C&lt;=$C130)))</f>
        <v>338656</v>
      </c>
      <c r="G130" s="53">
        <f>ABS(SUMPRODUCT(dados!G:G,-(dados!$B:$B=$B130),-(dados!$C:$C&lt;=$C130)))</f>
        <v>245786</v>
      </c>
    </row>
    <row r="131" spans="1:7" x14ac:dyDescent="0.25">
      <c r="A131" t="str">
        <f>dados!A131</f>
        <v>20088</v>
      </c>
      <c r="B131">
        <f>dados!B131</f>
        <v>2008</v>
      </c>
      <c r="C131">
        <f>dados!C131</f>
        <v>8</v>
      </c>
      <c r="D131" s="26">
        <f>dados!D131</f>
        <v>39661</v>
      </c>
      <c r="E131" s="53">
        <f>ABS(SUMPRODUCT(dados!E:E,-(dados!$B:$B=$B131),-(dados!$C:$C&lt;=$C131)))</f>
        <v>788670</v>
      </c>
      <c r="F131" s="53">
        <f>ABS(SUMPRODUCT(dados!F:F,-(dados!$B:$B=$B131),-(dados!$C:$C&lt;=$C131)))</f>
        <v>389123</v>
      </c>
      <c r="G131" s="53">
        <f>ABS(SUMPRODUCT(dados!G:G,-(dados!$B:$B=$B131),-(dados!$C:$C&lt;=$C131)))</f>
        <v>285598</v>
      </c>
    </row>
    <row r="132" spans="1:7" x14ac:dyDescent="0.25">
      <c r="A132" t="str">
        <f>dados!A132</f>
        <v>20089</v>
      </c>
      <c r="B132">
        <f>dados!B132</f>
        <v>2008</v>
      </c>
      <c r="C132">
        <f>dados!C132</f>
        <v>9</v>
      </c>
      <c r="D132" s="26">
        <f>dados!D132</f>
        <v>39692</v>
      </c>
      <c r="E132" s="53">
        <f>ABS(SUMPRODUCT(dados!E:E,-(dados!$B:$B=$B132),-(dados!$C:$C&lt;=$C132)))</f>
        <v>878784</v>
      </c>
      <c r="F132" s="53">
        <f>ABS(SUMPRODUCT(dados!F:F,-(dados!$B:$B=$B132),-(dados!$C:$C&lt;=$C132)))</f>
        <v>433566</v>
      </c>
      <c r="G132" s="53">
        <f>ABS(SUMPRODUCT(dados!G:G,-(dados!$B:$B=$B132),-(dados!$C:$C&lt;=$C132)))</f>
        <v>324955</v>
      </c>
    </row>
    <row r="133" spans="1:7" x14ac:dyDescent="0.25">
      <c r="A133" t="str">
        <f>dados!A133</f>
        <v>200810</v>
      </c>
      <c r="B133">
        <f>dados!B133</f>
        <v>2008</v>
      </c>
      <c r="C133">
        <f>dados!C133</f>
        <v>10</v>
      </c>
      <c r="D133" s="26">
        <f>dados!D133</f>
        <v>39722</v>
      </c>
      <c r="E133" s="53">
        <f>ABS(SUMPRODUCT(dados!E:E,-(dados!$B:$B=$B133),-(dados!$C:$C&lt;=$C133)))</f>
        <v>964548</v>
      </c>
      <c r="F133" s="53">
        <f>ABS(SUMPRODUCT(dados!F:F,-(dados!$B:$B=$B133),-(dados!$C:$C&lt;=$C133)))</f>
        <v>475864</v>
      </c>
      <c r="G133" s="53">
        <f>ABS(SUMPRODUCT(dados!G:G,-(dados!$B:$B=$B133),-(dados!$C:$C&lt;=$C133)))</f>
        <v>365206</v>
      </c>
    </row>
    <row r="134" spans="1:7" x14ac:dyDescent="0.25">
      <c r="A134" t="str">
        <f>dados!A134</f>
        <v>200811</v>
      </c>
      <c r="B134">
        <f>dados!B134</f>
        <v>2008</v>
      </c>
      <c r="C134">
        <f>dados!C134</f>
        <v>11</v>
      </c>
      <c r="D134" s="26">
        <f>dados!D134</f>
        <v>39753</v>
      </c>
      <c r="E134" s="53">
        <f>ABS(SUMPRODUCT(dados!E:E,-(dados!$B:$B=$B134),-(dados!$C:$C&lt;=$C134)))</f>
        <v>1073229</v>
      </c>
      <c r="F134" s="53">
        <f>ABS(SUMPRODUCT(dados!F:F,-(dados!$B:$B=$B134),-(dados!$C:$C&lt;=$C134)))</f>
        <v>529465</v>
      </c>
      <c r="G134" s="53">
        <f>ABS(SUMPRODUCT(dados!G:G,-(dados!$B:$B=$B134),-(dados!$C:$C&lt;=$C134)))</f>
        <v>403776</v>
      </c>
    </row>
    <row r="135" spans="1:7" x14ac:dyDescent="0.25">
      <c r="A135" t="str">
        <f>dados!A135</f>
        <v>200812</v>
      </c>
      <c r="B135">
        <f>dados!B135</f>
        <v>2008</v>
      </c>
      <c r="C135">
        <f>dados!C135</f>
        <v>12</v>
      </c>
      <c r="D135" s="26">
        <f>dados!D135</f>
        <v>39783</v>
      </c>
      <c r="E135" s="53">
        <f>ABS(SUMPRODUCT(dados!E:E,-(dados!$B:$B=$B135),-(dados!$C:$C&lt;=$C135)))</f>
        <v>1251769</v>
      </c>
      <c r="F135" s="53">
        <f>ABS(SUMPRODUCT(dados!F:F,-(dados!$B:$B=$B135),-(dados!$C:$C&lt;=$C135)))</f>
        <v>585880</v>
      </c>
      <c r="G135" s="53">
        <f>ABS(SUMPRODUCT(dados!G:G,-(dados!$B:$B=$B135),-(dados!$C:$C&lt;=$C135)))</f>
        <v>423839</v>
      </c>
    </row>
    <row r="136" spans="1:7" x14ac:dyDescent="0.25">
      <c r="A136" t="str">
        <f>dados!A136</f>
        <v>20091</v>
      </c>
      <c r="B136">
        <f>dados!B136</f>
        <v>2009</v>
      </c>
      <c r="C136">
        <f>dados!C136</f>
        <v>1</v>
      </c>
      <c r="D136" s="26">
        <f>dados!D136</f>
        <v>39814</v>
      </c>
      <c r="E136" s="53">
        <f>ABS(SUMPRODUCT(dados!E:E,-(dados!$B:$B=$B136),-(dados!$C:$C&lt;=$C136)))</f>
        <v>103800</v>
      </c>
      <c r="F136" s="53">
        <f>ABS(SUMPRODUCT(dados!F:F,-(dados!$B:$B=$B136),-(dados!$C:$C&lt;=$C136)))</f>
        <v>51473</v>
      </c>
      <c r="G136" s="53">
        <f>ABS(SUMPRODUCT(dados!G:G,-(dados!$B:$B=$B136),-(dados!$C:$C&lt;=$C136)))</f>
        <v>34119</v>
      </c>
    </row>
    <row r="137" spans="1:7" x14ac:dyDescent="0.25">
      <c r="A137" t="str">
        <f>dados!A137</f>
        <v>20092</v>
      </c>
      <c r="B137">
        <f>dados!B137</f>
        <v>2009</v>
      </c>
      <c r="C137">
        <f>dados!C137</f>
        <v>2</v>
      </c>
      <c r="D137" s="26">
        <f>dados!D137</f>
        <v>39845</v>
      </c>
      <c r="E137" s="53">
        <f>ABS(SUMPRODUCT(dados!E:E,-(dados!$B:$B=$B137),-(dados!$C:$C&lt;=$C137)))</f>
        <v>200455</v>
      </c>
      <c r="F137" s="53">
        <f>ABS(SUMPRODUCT(dados!F:F,-(dados!$B:$B=$B137),-(dados!$C:$C&lt;=$C137)))</f>
        <v>99459</v>
      </c>
      <c r="G137" s="53">
        <f>ABS(SUMPRODUCT(dados!G:G,-(dados!$B:$B=$B137),-(dados!$C:$C&lt;=$C137)))</f>
        <v>64979</v>
      </c>
    </row>
    <row r="138" spans="1:7" x14ac:dyDescent="0.25">
      <c r="A138" t="str">
        <f>dados!A138</f>
        <v>20093</v>
      </c>
      <c r="B138">
        <f>dados!B138</f>
        <v>2009</v>
      </c>
      <c r="C138">
        <f>dados!C138</f>
        <v>3</v>
      </c>
      <c r="D138" s="26">
        <f>dados!D138</f>
        <v>39873</v>
      </c>
      <c r="E138" s="53">
        <f>ABS(SUMPRODUCT(dados!E:E,-(dados!$B:$B=$B138),-(dados!$C:$C&lt;=$C138)))</f>
        <v>277722</v>
      </c>
      <c r="F138" s="53">
        <f>ABS(SUMPRODUCT(dados!F:F,-(dados!$B:$B=$B138),-(dados!$C:$C&lt;=$C138)))</f>
        <v>137820</v>
      </c>
      <c r="G138" s="53">
        <f>ABS(SUMPRODUCT(dados!G:G,-(dados!$B:$B=$B138),-(dados!$C:$C&lt;=$C138)))</f>
        <v>88779</v>
      </c>
    </row>
    <row r="139" spans="1:7" x14ac:dyDescent="0.25">
      <c r="A139" t="str">
        <f>dados!A139</f>
        <v>20094</v>
      </c>
      <c r="B139">
        <f>dados!B139</f>
        <v>2009</v>
      </c>
      <c r="C139">
        <f>dados!C139</f>
        <v>4</v>
      </c>
      <c r="D139" s="26">
        <f>dados!D139</f>
        <v>39904</v>
      </c>
      <c r="E139" s="53">
        <f>ABS(SUMPRODUCT(dados!E:E,-(dados!$B:$B=$B139),-(dados!$C:$C&lt;=$C139)))</f>
        <v>369957</v>
      </c>
      <c r="F139" s="53">
        <f>ABS(SUMPRODUCT(dados!F:F,-(dados!$B:$B=$B139),-(dados!$C:$C&lt;=$C139)))</f>
        <v>183478</v>
      </c>
      <c r="G139" s="53">
        <f>ABS(SUMPRODUCT(dados!G:G,-(dados!$B:$B=$B139),-(dados!$C:$C&lt;=$C139)))</f>
        <v>110907</v>
      </c>
    </row>
    <row r="140" spans="1:7" x14ac:dyDescent="0.25">
      <c r="A140" t="str">
        <f>dados!A140</f>
        <v>20095</v>
      </c>
      <c r="B140">
        <f>dados!B140</f>
        <v>2009</v>
      </c>
      <c r="C140">
        <f>dados!C140</f>
        <v>5</v>
      </c>
      <c r="D140" s="26">
        <f>dados!D140</f>
        <v>39934</v>
      </c>
      <c r="E140" s="53">
        <f>ABS(SUMPRODUCT(dados!E:E,-(dados!$B:$B=$B140),-(dados!$C:$C&lt;=$C140)))</f>
        <v>479527</v>
      </c>
      <c r="F140" s="53">
        <f>ABS(SUMPRODUCT(dados!F:F,-(dados!$B:$B=$B140),-(dados!$C:$C&lt;=$C140)))</f>
        <v>237857</v>
      </c>
      <c r="G140" s="53">
        <f>ABS(SUMPRODUCT(dados!G:G,-(dados!$B:$B=$B140),-(dados!$C:$C&lt;=$C140)))</f>
        <v>141064</v>
      </c>
    </row>
    <row r="141" spans="1:7" x14ac:dyDescent="0.25">
      <c r="A141" t="str">
        <f>dados!A141</f>
        <v>20096</v>
      </c>
      <c r="B141">
        <f>dados!B141</f>
        <v>2009</v>
      </c>
      <c r="C141">
        <f>dados!C141</f>
        <v>6</v>
      </c>
      <c r="D141" s="26">
        <f>dados!D141</f>
        <v>39965</v>
      </c>
      <c r="E141" s="53">
        <f>ABS(SUMPRODUCT(dados!E:E,-(dados!$B:$B=$B141),-(dados!$C:$C&lt;=$C141)))</f>
        <v>574064</v>
      </c>
      <c r="F141" s="53">
        <f>ABS(SUMPRODUCT(dados!F:F,-(dados!$B:$B=$B141),-(dados!$C:$C&lt;=$C141)))</f>
        <v>284792</v>
      </c>
      <c r="G141" s="53">
        <f>ABS(SUMPRODUCT(dados!G:G,-(dados!$B:$B=$B141),-(dados!$C:$C&lt;=$C141)))</f>
        <v>168921</v>
      </c>
    </row>
    <row r="142" spans="1:7" x14ac:dyDescent="0.25">
      <c r="A142" t="str">
        <f>dados!A142</f>
        <v>20097</v>
      </c>
      <c r="B142">
        <f>dados!B142</f>
        <v>2009</v>
      </c>
      <c r="C142">
        <f>dados!C142</f>
        <v>7</v>
      </c>
      <c r="D142" s="26">
        <f>dados!D142</f>
        <v>39995</v>
      </c>
      <c r="E142" s="53">
        <f>ABS(SUMPRODUCT(dados!E:E,-(dados!$B:$B=$B142),-(dados!$C:$C&lt;=$C142)))</f>
        <v>646602</v>
      </c>
      <c r="F142" s="53">
        <f>ABS(SUMPRODUCT(dados!F:F,-(dados!$B:$B=$B142),-(dados!$C:$C&lt;=$C142)))</f>
        <v>320805</v>
      </c>
      <c r="G142" s="53">
        <f>ABS(SUMPRODUCT(dados!G:G,-(dados!$B:$B=$B142),-(dados!$C:$C&lt;=$C142)))</f>
        <v>194516</v>
      </c>
    </row>
    <row r="143" spans="1:7" x14ac:dyDescent="0.25">
      <c r="A143" t="str">
        <f>dados!A143</f>
        <v>20098</v>
      </c>
      <c r="B143">
        <f>dados!B143</f>
        <v>2009</v>
      </c>
      <c r="C143">
        <f>dados!C143</f>
        <v>8</v>
      </c>
      <c r="D143" s="26">
        <f>dados!D143</f>
        <v>40026</v>
      </c>
      <c r="E143" s="53">
        <f>ABS(SUMPRODUCT(dados!E:E,-(dados!$B:$B=$B143),-(dados!$C:$C&lt;=$C143)))</f>
        <v>730979</v>
      </c>
      <c r="F143" s="53">
        <f>ABS(SUMPRODUCT(dados!F:F,-(dados!$B:$B=$B143),-(dados!$C:$C&lt;=$C143)))</f>
        <v>362700</v>
      </c>
      <c r="G143" s="53">
        <f>ABS(SUMPRODUCT(dados!G:G,-(dados!$B:$B=$B143),-(dados!$C:$C&lt;=$C143)))</f>
        <v>222134</v>
      </c>
    </row>
    <row r="144" spans="1:7" x14ac:dyDescent="0.25">
      <c r="A144" t="str">
        <f>dados!A144</f>
        <v>20099</v>
      </c>
      <c r="B144">
        <f>dados!B144</f>
        <v>2009</v>
      </c>
      <c r="C144">
        <f>dados!C144</f>
        <v>9</v>
      </c>
      <c r="D144" s="26">
        <f>dados!D144</f>
        <v>40057</v>
      </c>
      <c r="E144" s="53">
        <f>ABS(SUMPRODUCT(dados!E:E,-(dados!$B:$B=$B144),-(dados!$C:$C&lt;=$C144)))</f>
        <v>805657</v>
      </c>
      <c r="F144" s="53">
        <f>ABS(SUMPRODUCT(dados!F:F,-(dados!$B:$B=$B144),-(dados!$C:$C&lt;=$C144)))</f>
        <v>399786</v>
      </c>
      <c r="G144" s="53">
        <f>ABS(SUMPRODUCT(dados!G:G,-(dados!$B:$B=$B144),-(dados!$C:$C&lt;=$C144)))</f>
        <v>250763</v>
      </c>
    </row>
    <row r="145" spans="1:7" x14ac:dyDescent="0.25">
      <c r="A145" t="str">
        <f>dados!A145</f>
        <v>200910</v>
      </c>
      <c r="B145">
        <f>dados!B145</f>
        <v>2009</v>
      </c>
      <c r="C145">
        <f>dados!C145</f>
        <v>10</v>
      </c>
      <c r="D145" s="26">
        <f>dados!D145</f>
        <v>40087</v>
      </c>
      <c r="E145" s="53">
        <f>ABS(SUMPRODUCT(dados!E:E,-(dados!$B:$B=$B145),-(dados!$C:$C&lt;=$C145)))</f>
        <v>891561</v>
      </c>
      <c r="F145" s="53">
        <f>ABS(SUMPRODUCT(dados!F:F,-(dados!$B:$B=$B145),-(dados!$C:$C&lt;=$C145)))</f>
        <v>442448</v>
      </c>
      <c r="G145" s="53">
        <f>ABS(SUMPRODUCT(dados!G:G,-(dados!$B:$B=$B145),-(dados!$C:$C&lt;=$C145)))</f>
        <v>287181</v>
      </c>
    </row>
    <row r="146" spans="1:7" x14ac:dyDescent="0.25">
      <c r="A146" t="str">
        <f>dados!A146</f>
        <v>200911</v>
      </c>
      <c r="B146">
        <f>dados!B146</f>
        <v>2009</v>
      </c>
      <c r="C146">
        <f>dados!C146</f>
        <v>11</v>
      </c>
      <c r="D146" s="26">
        <f>dados!D146</f>
        <v>40118</v>
      </c>
      <c r="E146" s="53">
        <f>ABS(SUMPRODUCT(dados!E:E,-(dados!$B:$B=$B146),-(dados!$C:$C&lt;=$C146)))</f>
        <v>998717</v>
      </c>
      <c r="F146" s="53">
        <f>ABS(SUMPRODUCT(dados!F:F,-(dados!$B:$B=$B146),-(dados!$C:$C&lt;=$C146)))</f>
        <v>495701</v>
      </c>
      <c r="G146" s="53">
        <f>ABS(SUMPRODUCT(dados!G:G,-(dados!$B:$B=$B146),-(dados!$C:$C&lt;=$C146)))</f>
        <v>316073</v>
      </c>
    </row>
    <row r="147" spans="1:7" x14ac:dyDescent="0.25">
      <c r="A147" t="str">
        <f>dados!A147</f>
        <v>200912</v>
      </c>
      <c r="B147">
        <f>dados!B147</f>
        <v>2009</v>
      </c>
      <c r="C147">
        <f>dados!C147</f>
        <v>12</v>
      </c>
      <c r="D147" s="26">
        <f>dados!D147</f>
        <v>40148</v>
      </c>
      <c r="E147" s="53">
        <f>ABS(SUMPRODUCT(dados!E:E,-(dados!$B:$B=$B147),-(dados!$C:$C&lt;=$C147)))</f>
        <v>1176140</v>
      </c>
      <c r="F147" s="53">
        <f>ABS(SUMPRODUCT(dados!F:F,-(dados!$B:$B=$B147),-(dados!$C:$C&lt;=$C147)))</f>
        <v>553124</v>
      </c>
      <c r="G147" s="53">
        <f>ABS(SUMPRODUCT(dados!G:G,-(dados!$B:$B=$B147),-(dados!$C:$C&lt;=$C147)))</f>
        <v>358013</v>
      </c>
    </row>
    <row r="148" spans="1:7" x14ac:dyDescent="0.25">
      <c r="A148" t="str">
        <f>dados!A148</f>
        <v>20101</v>
      </c>
      <c r="B148">
        <f>dados!B148</f>
        <v>2010</v>
      </c>
      <c r="C148">
        <f>dados!C148</f>
        <v>1</v>
      </c>
      <c r="D148" s="26">
        <f>dados!D148</f>
        <v>40179</v>
      </c>
      <c r="E148" s="53">
        <f>ABS(SUMPRODUCT(dados!E:E,-(dados!$B:$B=$B148),-(dados!$C:$C&lt;=$C148)))</f>
        <v>91677</v>
      </c>
      <c r="F148" s="53">
        <f>ABS(SUMPRODUCT(dados!F:F,-(dados!$B:$B=$B148),-(dados!$C:$C&lt;=$C148)))</f>
        <v>44220</v>
      </c>
      <c r="G148" s="53">
        <f>ABS(SUMPRODUCT(dados!G:G,-(dados!$B:$B=$B148),-(dados!$C:$C&lt;=$C148)))</f>
        <v>35781</v>
      </c>
    </row>
    <row r="149" spans="1:7" x14ac:dyDescent="0.25">
      <c r="A149" t="str">
        <f>dados!A149</f>
        <v>20102</v>
      </c>
      <c r="B149">
        <f>dados!B149</f>
        <v>2010</v>
      </c>
      <c r="C149">
        <f>dados!C149</f>
        <v>2</v>
      </c>
      <c r="D149" s="26">
        <f>dados!D149</f>
        <v>40210</v>
      </c>
      <c r="E149" s="53">
        <f>ABS(SUMPRODUCT(dados!E:E,-(dados!$B:$B=$B149),-(dados!$C:$C&lt;=$C149)))</f>
        <v>203664</v>
      </c>
      <c r="F149" s="53">
        <f>ABS(SUMPRODUCT(dados!F:F,-(dados!$B:$B=$B149),-(dados!$C:$C&lt;=$C149)))</f>
        <v>98210</v>
      </c>
      <c r="G149" s="53">
        <f>ABS(SUMPRODUCT(dados!G:G,-(dados!$B:$B=$B149),-(dados!$C:$C&lt;=$C149)))</f>
        <v>70590</v>
      </c>
    </row>
    <row r="150" spans="1:7" x14ac:dyDescent="0.25">
      <c r="A150" t="str">
        <f>dados!A150</f>
        <v>20103</v>
      </c>
      <c r="B150">
        <f>dados!B150</f>
        <v>2010</v>
      </c>
      <c r="C150">
        <f>dados!C150</f>
        <v>3</v>
      </c>
      <c r="D150" s="26">
        <f>dados!D150</f>
        <v>40238</v>
      </c>
      <c r="E150" s="53">
        <f>ABS(SUMPRODUCT(dados!E:E,-(dados!$B:$B=$B150),-(dados!$C:$C&lt;=$C150)))</f>
        <v>286855</v>
      </c>
      <c r="F150" s="53">
        <f>ABS(SUMPRODUCT(dados!F:F,-(dados!$B:$B=$B150),-(dados!$C:$C&lt;=$C150)))</f>
        <v>138317</v>
      </c>
      <c r="G150" s="53">
        <f>ABS(SUMPRODUCT(dados!G:G,-(dados!$B:$B=$B150),-(dados!$C:$C&lt;=$C150)))</f>
        <v>102414</v>
      </c>
    </row>
    <row r="151" spans="1:7" x14ac:dyDescent="0.25">
      <c r="A151" t="str">
        <f>dados!A151</f>
        <v>20104</v>
      </c>
      <c r="B151">
        <f>dados!B151</f>
        <v>2010</v>
      </c>
      <c r="C151">
        <f>dados!C151</f>
        <v>4</v>
      </c>
      <c r="D151" s="26">
        <f>dados!D151</f>
        <v>40269</v>
      </c>
      <c r="E151" s="53">
        <f>ABS(SUMPRODUCT(dados!E:E,-(dados!$B:$B=$B151),-(dados!$C:$C&lt;=$C151)))</f>
        <v>386530</v>
      </c>
      <c r="F151" s="53">
        <f>ABS(SUMPRODUCT(dados!F:F,-(dados!$B:$B=$B151),-(dados!$C:$C&lt;=$C151)))</f>
        <v>186371</v>
      </c>
      <c r="G151" s="53">
        <f>ABS(SUMPRODUCT(dados!G:G,-(dados!$B:$B=$B151),-(dados!$C:$C&lt;=$C151)))</f>
        <v>135954</v>
      </c>
    </row>
    <row r="152" spans="1:7" x14ac:dyDescent="0.25">
      <c r="A152" t="str">
        <f>dados!A152</f>
        <v>20105</v>
      </c>
      <c r="B152">
        <f>dados!B152</f>
        <v>2010</v>
      </c>
      <c r="C152">
        <f>dados!C152</f>
        <v>5</v>
      </c>
      <c r="D152" s="26">
        <f>dados!D152</f>
        <v>40299</v>
      </c>
      <c r="E152" s="53">
        <f>ABS(SUMPRODUCT(dados!E:E,-(dados!$B:$B=$B152),-(dados!$C:$C&lt;=$C152)))</f>
        <v>509161</v>
      </c>
      <c r="F152" s="53">
        <f>ABS(SUMPRODUCT(dados!F:F,-(dados!$B:$B=$B152),-(dados!$C:$C&lt;=$C152)))</f>
        <v>245535</v>
      </c>
      <c r="G152" s="53">
        <f>ABS(SUMPRODUCT(dados!G:G,-(dados!$B:$B=$B152),-(dados!$C:$C&lt;=$C152)))</f>
        <v>169003</v>
      </c>
    </row>
    <row r="153" spans="1:7" x14ac:dyDescent="0.25">
      <c r="A153" t="str">
        <f>dados!A153</f>
        <v>20106</v>
      </c>
      <c r="B153">
        <f>dados!B153</f>
        <v>2010</v>
      </c>
      <c r="C153">
        <f>dados!C153</f>
        <v>6</v>
      </c>
      <c r="D153" s="26">
        <f>dados!D153</f>
        <v>40330</v>
      </c>
      <c r="E153" s="53">
        <f>ABS(SUMPRODUCT(dados!E:E,-(dados!$B:$B=$B153),-(dados!$C:$C&lt;=$C153)))</f>
        <v>615297</v>
      </c>
      <c r="F153" s="53">
        <f>ABS(SUMPRODUCT(dados!F:F,-(dados!$B:$B=$B153),-(dados!$C:$C&lt;=$C153)))</f>
        <v>296882</v>
      </c>
      <c r="G153" s="53">
        <f>ABS(SUMPRODUCT(dados!G:G,-(dados!$B:$B=$B153),-(dados!$C:$C&lt;=$C153)))</f>
        <v>207618</v>
      </c>
    </row>
    <row r="154" spans="1:7" x14ac:dyDescent="0.25">
      <c r="A154" t="str">
        <f>dados!A154</f>
        <v>20107</v>
      </c>
      <c r="B154">
        <f>dados!B154</f>
        <v>2010</v>
      </c>
      <c r="C154">
        <f>dados!C154</f>
        <v>7</v>
      </c>
      <c r="D154" s="26">
        <f>dados!D154</f>
        <v>40360</v>
      </c>
      <c r="E154" s="53">
        <f>ABS(SUMPRODUCT(dados!E:E,-(dados!$B:$B=$B154),-(dados!$C:$C&lt;=$C154)))</f>
        <v>693254</v>
      </c>
      <c r="F154" s="53">
        <f>ABS(SUMPRODUCT(dados!F:F,-(dados!$B:$B=$B154),-(dados!$C:$C&lt;=$C154)))</f>
        <v>334639</v>
      </c>
      <c r="G154" s="53">
        <f>ABS(SUMPRODUCT(dados!G:G,-(dados!$B:$B=$B154),-(dados!$C:$C&lt;=$C154)))</f>
        <v>248731</v>
      </c>
    </row>
    <row r="155" spans="1:7" x14ac:dyDescent="0.25">
      <c r="A155" t="str">
        <f>dados!A155</f>
        <v>20108</v>
      </c>
      <c r="B155">
        <f>dados!B155</f>
        <v>2010</v>
      </c>
      <c r="C155">
        <f>dados!C155</f>
        <v>8</v>
      </c>
      <c r="D155" s="26">
        <f>dados!D155</f>
        <v>40391</v>
      </c>
      <c r="E155" s="53">
        <f>ABS(SUMPRODUCT(dados!E:E,-(dados!$B:$B=$B155),-(dados!$C:$C&lt;=$C155)))</f>
        <v>797696</v>
      </c>
      <c r="F155" s="53">
        <f>ABS(SUMPRODUCT(dados!F:F,-(dados!$B:$B=$B155),-(dados!$C:$C&lt;=$C155)))</f>
        <v>385241</v>
      </c>
      <c r="G155" s="53">
        <f>ABS(SUMPRODUCT(dados!G:G,-(dados!$B:$B=$B155),-(dados!$C:$C&lt;=$C155)))</f>
        <v>288513</v>
      </c>
    </row>
    <row r="156" spans="1:7" x14ac:dyDescent="0.25">
      <c r="A156" t="str">
        <f>dados!A156</f>
        <v>20109</v>
      </c>
      <c r="B156">
        <f>dados!B156</f>
        <v>2010</v>
      </c>
      <c r="C156">
        <f>dados!C156</f>
        <v>9</v>
      </c>
      <c r="D156" s="26">
        <f>dados!D156</f>
        <v>40422</v>
      </c>
      <c r="E156" s="53">
        <f>ABS(SUMPRODUCT(dados!E:E,-(dados!$B:$B=$B156),-(dados!$C:$C&lt;=$C156)))</f>
        <v>885214</v>
      </c>
      <c r="F156" s="53">
        <f>ABS(SUMPRODUCT(dados!F:F,-(dados!$B:$B=$B156),-(dados!$C:$C&lt;=$C156)))</f>
        <v>427482</v>
      </c>
      <c r="G156" s="53">
        <f>ABS(SUMPRODUCT(dados!G:G,-(dados!$B:$B=$B156),-(dados!$C:$C&lt;=$C156)))</f>
        <v>328199</v>
      </c>
    </row>
    <row r="157" spans="1:7" x14ac:dyDescent="0.25">
      <c r="A157" t="str">
        <f>dados!A157</f>
        <v>201010</v>
      </c>
      <c r="B157">
        <f>dados!B157</f>
        <v>2010</v>
      </c>
      <c r="C157">
        <f>dados!C157</f>
        <v>10</v>
      </c>
      <c r="D157" s="26">
        <f>dados!D157</f>
        <v>40452</v>
      </c>
      <c r="E157" s="53">
        <f>ABS(SUMPRODUCT(dados!E:E,-(dados!$B:$B=$B157),-(dados!$C:$C&lt;=$C157)))</f>
        <v>979426</v>
      </c>
      <c r="F157" s="53">
        <f>ABS(SUMPRODUCT(dados!F:F,-(dados!$B:$B=$B157),-(dados!$C:$C&lt;=$C157)))</f>
        <v>472954.01884999999</v>
      </c>
      <c r="G157" s="53">
        <f>ABS(SUMPRODUCT(dados!G:G,-(dados!$B:$B=$B157),-(dados!$C:$C&lt;=$C157)))</f>
        <v>369501.09973000002</v>
      </c>
    </row>
    <row r="158" spans="1:7" x14ac:dyDescent="0.25">
      <c r="A158" t="str">
        <f>dados!A158</f>
        <v>201011</v>
      </c>
      <c r="B158">
        <f>dados!B158</f>
        <v>2010</v>
      </c>
      <c r="C158">
        <f>dados!C158</f>
        <v>11</v>
      </c>
      <c r="D158" s="26">
        <f>dados!D158</f>
        <v>40483</v>
      </c>
      <c r="E158" s="53">
        <f>ABS(SUMPRODUCT(dados!E:E,-(dados!$B:$B=$B158),-(dados!$C:$C&lt;=$C158)))</f>
        <v>1092364</v>
      </c>
      <c r="F158" s="53">
        <f>ABS(SUMPRODUCT(dados!F:F,-(dados!$B:$B=$B158),-(dados!$C:$C&lt;=$C158)))</f>
        <v>527464.26</v>
      </c>
      <c r="G158" s="53">
        <f>ABS(SUMPRODUCT(dados!G:G,-(dados!$B:$B=$B158),-(dados!$C:$C&lt;=$C158)))</f>
        <v>413499.30431000004</v>
      </c>
    </row>
    <row r="159" spans="1:7" x14ac:dyDescent="0.25">
      <c r="A159" t="str">
        <f>dados!A159</f>
        <v>201012</v>
      </c>
      <c r="B159">
        <f>dados!B159</f>
        <v>2010</v>
      </c>
      <c r="C159">
        <f>dados!C159</f>
        <v>12</v>
      </c>
      <c r="D159" s="26">
        <f>dados!D159</f>
        <v>40513</v>
      </c>
      <c r="E159" s="53">
        <f>ABS(SUMPRODUCT(dados!E:E,-(dados!$B:$B=$B159),-(dados!$C:$C&lt;=$C159)))</f>
        <v>1301949</v>
      </c>
      <c r="F159" s="53">
        <f>ABS(SUMPRODUCT(dados!F:F,-(dados!$B:$B=$B159),-(dados!$C:$C&lt;=$C159)))</f>
        <v>596171.71719</v>
      </c>
      <c r="G159" s="53">
        <f>ABS(SUMPRODUCT(dados!G:G,-(dados!$B:$B=$B159),-(dados!$C:$C&lt;=$C159)))</f>
        <v>465225.28819000005</v>
      </c>
    </row>
    <row r="160" spans="1:7" x14ac:dyDescent="0.25">
      <c r="A160" t="str">
        <f>dados!A160</f>
        <v>20111</v>
      </c>
      <c r="B160">
        <f>dados!B160</f>
        <v>2011</v>
      </c>
      <c r="C160">
        <f>dados!C160</f>
        <v>1</v>
      </c>
      <c r="D160" s="26">
        <f>dados!D160</f>
        <v>40544</v>
      </c>
      <c r="E160" s="53">
        <f>ABS(SUMPRODUCT(dados!E:E,-(dados!$B:$B=$B160),-(dados!$C:$C&lt;=$C160)))</f>
        <v>133984</v>
      </c>
      <c r="F160" s="53">
        <f>ABS(SUMPRODUCT(dados!F:F,-(dados!$B:$B=$B160),-(dados!$C:$C&lt;=$C160)))</f>
        <v>66674.753410000005</v>
      </c>
      <c r="G160" s="53">
        <f>ABS(SUMPRODUCT(dados!G:G,-(dados!$B:$B=$B160),-(dados!$C:$C&lt;=$C160)))</f>
        <v>56417.286760000003</v>
      </c>
    </row>
    <row r="161" spans="1:7" x14ac:dyDescent="0.25">
      <c r="A161" t="str">
        <f>dados!A161</f>
        <v>20112</v>
      </c>
      <c r="B161">
        <f>dados!B161</f>
        <v>2011</v>
      </c>
      <c r="C161">
        <f>dados!C161</f>
        <v>2</v>
      </c>
      <c r="D161" s="26">
        <f>dados!D161</f>
        <v>40575</v>
      </c>
      <c r="E161" s="53">
        <f>ABS(SUMPRODUCT(dados!E:E,-(dados!$B:$B=$B161),-(dados!$C:$C&lt;=$C161)))</f>
        <v>278119</v>
      </c>
      <c r="F161" s="53">
        <f>ABS(SUMPRODUCT(dados!F:F,-(dados!$B:$B=$B161),-(dados!$C:$C&lt;=$C161)))</f>
        <v>138507.02630999999</v>
      </c>
      <c r="G161" s="53">
        <f>ABS(SUMPRODUCT(dados!G:G,-(dados!$B:$B=$B161),-(dados!$C:$C&lt;=$C161)))</f>
        <v>109489.2452</v>
      </c>
    </row>
    <row r="162" spans="1:7" x14ac:dyDescent="0.25">
      <c r="A162" t="str">
        <f>dados!A162</f>
        <v>20113</v>
      </c>
      <c r="B162">
        <f>dados!B162</f>
        <v>2011</v>
      </c>
      <c r="C162">
        <f>dados!C162</f>
        <v>3</v>
      </c>
      <c r="D162" s="26">
        <f>dados!D162</f>
        <v>40603</v>
      </c>
      <c r="E162" s="53">
        <f>ABS(SUMPRODUCT(dados!E:E,-(dados!$B:$B=$B162),-(dados!$C:$C&lt;=$C162)))</f>
        <v>372436</v>
      </c>
      <c r="F162" s="53">
        <f>ABS(SUMPRODUCT(dados!F:F,-(dados!$B:$B=$B162),-(dados!$C:$C&lt;=$C162)))</f>
        <v>185400.5931</v>
      </c>
      <c r="G162" s="53">
        <f>ABS(SUMPRODUCT(dados!G:G,-(dados!$B:$B=$B162),-(dados!$C:$C&lt;=$C162)))</f>
        <v>148471.2452</v>
      </c>
    </row>
    <row r="163" spans="1:7" x14ac:dyDescent="0.25">
      <c r="A163" t="str">
        <f>dados!A163</f>
        <v>20114</v>
      </c>
      <c r="B163">
        <f>dados!B163</f>
        <v>2011</v>
      </c>
      <c r="C163">
        <f>dados!C163</f>
        <v>4</v>
      </c>
      <c r="D163" s="26">
        <f>dados!D163</f>
        <v>40634</v>
      </c>
      <c r="E163" s="53">
        <f>ABS(SUMPRODUCT(dados!E:E,-(dados!$B:$B=$B163),-(dados!$C:$C&lt;=$C163)))</f>
        <v>497453</v>
      </c>
      <c r="F163" s="53">
        <f>ABS(SUMPRODUCT(dados!F:F,-(dados!$B:$B=$B163),-(dados!$C:$C&lt;=$C163)))</f>
        <v>247557.86638999998</v>
      </c>
      <c r="G163" s="53">
        <f>ABS(SUMPRODUCT(dados!G:G,-(dados!$B:$B=$B163),-(dados!$C:$C&lt;=$C163)))</f>
        <v>201132.08393000002</v>
      </c>
    </row>
    <row r="164" spans="1:7" x14ac:dyDescent="0.25">
      <c r="A164" t="str">
        <f>dados!A164</f>
        <v>20115</v>
      </c>
      <c r="B164">
        <f>dados!B164</f>
        <v>2011</v>
      </c>
      <c r="C164">
        <f>dados!C164</f>
        <v>5</v>
      </c>
      <c r="D164" s="26">
        <f>dados!D164</f>
        <v>40664</v>
      </c>
      <c r="E164" s="53">
        <f>ABS(SUMPRODUCT(dados!E:E,-(dados!$B:$B=$B164),-(dados!$C:$C&lt;=$C164)))</f>
        <v>640946</v>
      </c>
      <c r="F164" s="53">
        <f>ABS(SUMPRODUCT(dados!F:F,-(dados!$B:$B=$B164),-(dados!$C:$C&lt;=$C164)))</f>
        <v>318901.40986000001</v>
      </c>
      <c r="G164" s="53">
        <f>ABS(SUMPRODUCT(dados!G:G,-(dados!$B:$B=$B164),-(dados!$C:$C&lt;=$C164)))</f>
        <v>245512.95151000001</v>
      </c>
    </row>
    <row r="165" spans="1:7" x14ac:dyDescent="0.25">
      <c r="A165" t="str">
        <f>dados!A165</f>
        <v>20116</v>
      </c>
      <c r="B165">
        <f>dados!B165</f>
        <v>2011</v>
      </c>
      <c r="C165">
        <f>dados!C165</f>
        <v>6</v>
      </c>
      <c r="D165" s="26">
        <f>dados!D165</f>
        <v>40695</v>
      </c>
      <c r="E165" s="53">
        <f>ABS(SUMPRODUCT(dados!E:E,-(dados!$B:$B=$B165),-(dados!$C:$C&lt;=$C165)))</f>
        <v>770458</v>
      </c>
      <c r="F165" s="53">
        <f>ABS(SUMPRODUCT(dados!F:F,-(dados!$B:$B=$B165),-(dados!$C:$C&lt;=$C165)))</f>
        <v>383293.98348</v>
      </c>
      <c r="G165" s="53">
        <f>ABS(SUMPRODUCT(dados!G:G,-(dados!$B:$B=$B165),-(dados!$C:$C&lt;=$C165)))</f>
        <v>294576.57657000003</v>
      </c>
    </row>
    <row r="166" spans="1:7" x14ac:dyDescent="0.25">
      <c r="A166" t="str">
        <f>dados!A166</f>
        <v>20117</v>
      </c>
      <c r="B166">
        <f>dados!B166</f>
        <v>2011</v>
      </c>
      <c r="C166">
        <f>dados!C166</f>
        <v>7</v>
      </c>
      <c r="D166" s="26">
        <f>dados!D166</f>
        <v>40725</v>
      </c>
      <c r="E166" s="53">
        <f>ABS(SUMPRODUCT(dados!E:E,-(dados!$B:$B=$B166),-(dados!$C:$C&lt;=$C166)))</f>
        <v>880631</v>
      </c>
      <c r="F166" s="53">
        <f>ABS(SUMPRODUCT(dados!F:F,-(dados!$B:$B=$B166),-(dados!$C:$C&lt;=$C166)))</f>
        <v>438070.98348</v>
      </c>
      <c r="G166" s="53">
        <f>ABS(SUMPRODUCT(dados!G:G,-(dados!$B:$B=$B166),-(dados!$C:$C&lt;=$C166)))</f>
        <v>342794.57657000003</v>
      </c>
    </row>
    <row r="167" spans="1:7" x14ac:dyDescent="0.25">
      <c r="A167" t="str">
        <f>dados!A167</f>
        <v>20118</v>
      </c>
      <c r="B167">
        <f>dados!B167</f>
        <v>2011</v>
      </c>
      <c r="C167">
        <f>dados!C167</f>
        <v>8</v>
      </c>
      <c r="D167" s="26">
        <f>dados!D167</f>
        <v>40756</v>
      </c>
      <c r="E167" s="53">
        <f>ABS(SUMPRODUCT(dados!E:E,-(dados!$B:$B=$B167),-(dados!$C:$C&lt;=$C167)))</f>
        <v>994277</v>
      </c>
      <c r="F167" s="53">
        <f>ABS(SUMPRODUCT(dados!F:F,-(dados!$B:$B=$B167),-(dados!$C:$C&lt;=$C167)))</f>
        <v>494574.98348</v>
      </c>
      <c r="G167" s="53">
        <f>ABS(SUMPRODUCT(dados!G:G,-(dados!$B:$B=$B167),-(dados!$C:$C&lt;=$C167)))</f>
        <v>391179.57657000003</v>
      </c>
    </row>
    <row r="168" spans="1:7" x14ac:dyDescent="0.25">
      <c r="A168" t="str">
        <f>dados!A168</f>
        <v>20119</v>
      </c>
      <c r="B168">
        <f>dados!B168</f>
        <v>2011</v>
      </c>
      <c r="C168">
        <f>dados!C168</f>
        <v>9</v>
      </c>
      <c r="D168" s="26">
        <f>dados!D168</f>
        <v>40787</v>
      </c>
      <c r="E168" s="53">
        <f>ABS(SUMPRODUCT(dados!E:E,-(dados!$B:$B=$B168),-(dados!$C:$C&lt;=$C168)))</f>
        <v>1084959</v>
      </c>
      <c r="F168" s="53">
        <f>ABS(SUMPRODUCT(dados!F:F,-(dados!$B:$B=$B168),-(dados!$C:$C&lt;=$C168)))</f>
        <v>539683.98347999994</v>
      </c>
      <c r="G168" s="53">
        <f>ABS(SUMPRODUCT(dados!G:G,-(dados!$B:$B=$B168),-(dados!$C:$C&lt;=$C168)))</f>
        <v>436033.57657000003</v>
      </c>
    </row>
    <row r="169" spans="1:7" x14ac:dyDescent="0.25">
      <c r="A169" t="str">
        <f>dados!A169</f>
        <v>201110</v>
      </c>
      <c r="B169">
        <f>dados!B169</f>
        <v>2011</v>
      </c>
      <c r="C169">
        <f>dados!C169</f>
        <v>10</v>
      </c>
      <c r="D169" s="26">
        <f>dados!D169</f>
        <v>40817</v>
      </c>
      <c r="E169" s="53">
        <f>ABS(SUMPRODUCT(dados!E:E,-(dados!$B:$B=$B169),-(dados!$C:$C&lt;=$C169)))</f>
        <v>1204088</v>
      </c>
      <c r="F169" s="53">
        <f>ABS(SUMPRODUCT(dados!F:F,-(dados!$B:$B=$B169),-(dados!$C:$C&lt;=$C169)))</f>
        <v>598975.98347999994</v>
      </c>
      <c r="G169" s="53">
        <f>ABS(SUMPRODUCT(dados!G:G,-(dados!$B:$B=$B169),-(dados!$C:$C&lt;=$C169)))</f>
        <v>499397.57657000003</v>
      </c>
    </row>
    <row r="170" spans="1:7" x14ac:dyDescent="0.25">
      <c r="A170" t="str">
        <f>dados!A170</f>
        <v>201111</v>
      </c>
      <c r="B170">
        <f>dados!B170</f>
        <v>2011</v>
      </c>
      <c r="C170">
        <f>dados!C170</f>
        <v>11</v>
      </c>
      <c r="D170" s="26">
        <f>dados!D170</f>
        <v>40848</v>
      </c>
      <c r="E170" s="53">
        <f>ABS(SUMPRODUCT(dados!E:E,-(dados!$B:$B=$B170),-(dados!$C:$C&lt;=$C170)))</f>
        <v>1329957</v>
      </c>
      <c r="F170" s="53">
        <f>ABS(SUMPRODUCT(dados!F:F,-(dados!$B:$B=$B170),-(dados!$C:$C&lt;=$C170)))</f>
        <v>661610.98347999994</v>
      </c>
      <c r="G170" s="53">
        <f>ABS(SUMPRODUCT(dados!G:G,-(dados!$B:$B=$B170),-(dados!$C:$C&lt;=$C170)))</f>
        <v>558826.57657000003</v>
      </c>
    </row>
    <row r="171" spans="1:7" x14ac:dyDescent="0.25">
      <c r="A171" t="str">
        <f>dados!A171</f>
        <v>201112</v>
      </c>
      <c r="B171">
        <f>dados!B171</f>
        <v>2011</v>
      </c>
      <c r="C171">
        <f>dados!C171</f>
        <v>12</v>
      </c>
      <c r="D171" s="26">
        <f>dados!D171</f>
        <v>40878</v>
      </c>
      <c r="E171" s="53">
        <f>ABS(SUMPRODUCT(dados!E:E,-(dados!$B:$B=$B171),-(dados!$C:$C&lt;=$C171)))</f>
        <v>1557987</v>
      </c>
      <c r="F171" s="53">
        <f>ABS(SUMPRODUCT(dados!F:F,-(dados!$B:$B=$B171),-(dados!$C:$C&lt;=$C171)))</f>
        <v>734368.98347999994</v>
      </c>
      <c r="G171" s="53">
        <f>ABS(SUMPRODUCT(dados!G:G,-(dados!$B:$B=$B171),-(dados!$C:$C&lt;=$C171)))</f>
        <v>626052.57657000003</v>
      </c>
    </row>
    <row r="172" spans="1:7" x14ac:dyDescent="0.25">
      <c r="A172" t="str">
        <f>dados!A172</f>
        <v>20121</v>
      </c>
      <c r="B172">
        <f>dados!B172</f>
        <v>2012</v>
      </c>
      <c r="C172">
        <f>dados!C172</f>
        <v>1</v>
      </c>
      <c r="D172" s="26">
        <f>dados!D172</f>
        <v>40909</v>
      </c>
      <c r="E172" s="53">
        <f>ABS(SUMPRODUCT(dados!E:E,-(dados!$B:$B=$B172),-(dados!$C:$C&lt;=$C172)))</f>
        <v>137005</v>
      </c>
      <c r="F172" s="53">
        <f>ABS(SUMPRODUCT(dados!F:F,-(dados!$B:$B=$B172),-(dados!$C:$C&lt;=$C172)))</f>
        <v>66351</v>
      </c>
      <c r="G172" s="53">
        <f>ABS(SUMPRODUCT(dados!G:G,-(dados!$B:$B=$B172),-(dados!$C:$C&lt;=$C172)))</f>
        <v>25860</v>
      </c>
    </row>
    <row r="173" spans="1:7" x14ac:dyDescent="0.25">
      <c r="A173" t="str">
        <f>dados!A173</f>
        <v>20122</v>
      </c>
      <c r="B173">
        <f>dados!B173</f>
        <v>2012</v>
      </c>
      <c r="C173">
        <f>dados!C173</f>
        <v>2</v>
      </c>
      <c r="D173" s="26">
        <f>dados!D173</f>
        <v>40940</v>
      </c>
      <c r="E173" s="53">
        <f>ABS(SUMPRODUCT(dados!E:E,-(dados!$B:$B=$B173),-(dados!$C:$C&lt;=$C173)))</f>
        <v>302733</v>
      </c>
      <c r="F173" s="53">
        <f>ABS(SUMPRODUCT(dados!F:F,-(dados!$B:$B=$B173),-(dados!$C:$C&lt;=$C173)))</f>
        <v>146612</v>
      </c>
      <c r="G173" s="53">
        <f>ABS(SUMPRODUCT(dados!G:G,-(dados!$B:$B=$B173),-(dados!$C:$C&lt;=$C173)))</f>
        <v>79883</v>
      </c>
    </row>
    <row r="174" spans="1:7" x14ac:dyDescent="0.25">
      <c r="A174" t="str">
        <f>dados!A174</f>
        <v>20123</v>
      </c>
      <c r="B174">
        <f>dados!B174</f>
        <v>2012</v>
      </c>
      <c r="C174">
        <f>dados!C174</f>
        <v>3</v>
      </c>
      <c r="D174" s="26">
        <f>dados!D174</f>
        <v>40969</v>
      </c>
      <c r="E174" s="53">
        <f>ABS(SUMPRODUCT(dados!E:E,-(dados!$B:$B=$B174),-(dados!$C:$C&lt;=$C174)))</f>
        <v>415289</v>
      </c>
      <c r="F174" s="53">
        <f>ABS(SUMPRODUCT(dados!F:F,-(dados!$B:$B=$B174),-(dados!$C:$C&lt;=$C174)))</f>
        <v>201122</v>
      </c>
      <c r="G174" s="53">
        <f>ABS(SUMPRODUCT(dados!G:G,-(dados!$B:$B=$B174),-(dados!$C:$C&lt;=$C174)))</f>
        <v>128000</v>
      </c>
    </row>
    <row r="175" spans="1:7" x14ac:dyDescent="0.25">
      <c r="A175" t="str">
        <f>dados!A175</f>
        <v>20124</v>
      </c>
      <c r="B175">
        <f>dados!B175</f>
        <v>2012</v>
      </c>
      <c r="C175">
        <f>dados!C175</f>
        <v>4</v>
      </c>
      <c r="D175" s="26">
        <f>dados!D175</f>
        <v>41000</v>
      </c>
      <c r="E175" s="53">
        <f>ABS(SUMPRODUCT(dados!E:E,-(dados!$B:$B=$B175),-(dados!$C:$C&lt;=$C175)))</f>
        <v>557146</v>
      </c>
      <c r="F175" s="53">
        <f>ABS(SUMPRODUCT(dados!F:F,-(dados!$B:$B=$B175),-(dados!$C:$C&lt;=$C175)))</f>
        <v>263279</v>
      </c>
      <c r="G175" s="53">
        <f>ABS(SUMPRODUCT(dados!G:G,-(dados!$B:$B=$B175),-(dados!$C:$C&lt;=$C175)))</f>
        <v>180661</v>
      </c>
    </row>
    <row r="176" spans="1:7" x14ac:dyDescent="0.25">
      <c r="A176" t="str">
        <f>dados!A176</f>
        <v>20125</v>
      </c>
      <c r="B176">
        <f>dados!B176</f>
        <v>2012</v>
      </c>
      <c r="C176">
        <f>dados!C176</f>
        <v>5</v>
      </c>
      <c r="D176" s="26">
        <f>dados!D176</f>
        <v>41030</v>
      </c>
      <c r="E176" s="53">
        <f>ABS(SUMPRODUCT(dados!E:E,-(dados!$B:$B=$B176),-(dados!$C:$C&lt;=$C176)))</f>
        <v>715803</v>
      </c>
      <c r="F176" s="53">
        <f>ABS(SUMPRODUCT(dados!F:F,-(dados!$B:$B=$B176),-(dados!$C:$C&lt;=$C176)))</f>
        <v>340116</v>
      </c>
      <c r="G176" s="53">
        <f>ABS(SUMPRODUCT(dados!G:G,-(dados!$B:$B=$B176),-(dados!$C:$C&lt;=$C176)))</f>
        <v>238449</v>
      </c>
    </row>
    <row r="177" spans="1:7" x14ac:dyDescent="0.25">
      <c r="A177" t="str">
        <f>dados!A177</f>
        <v>20126</v>
      </c>
      <c r="B177">
        <f>dados!B177</f>
        <v>2012</v>
      </c>
      <c r="C177">
        <f>dados!C177</f>
        <v>6</v>
      </c>
      <c r="D177" s="26">
        <f>dados!D177</f>
        <v>41061</v>
      </c>
      <c r="E177" s="53">
        <f>ABS(SUMPRODUCT(dados!E:E,-(dados!$B:$B=$B177),-(dados!$C:$C&lt;=$C177)))</f>
        <v>851193</v>
      </c>
      <c r="F177" s="53">
        <f>ABS(SUMPRODUCT(dados!F:F,-(dados!$B:$B=$B177),-(dados!$C:$C&lt;=$C177)))</f>
        <v>405685</v>
      </c>
      <c r="G177" s="53">
        <f>ABS(SUMPRODUCT(dados!G:G,-(dados!$B:$B=$B177),-(dados!$C:$C&lt;=$C177)))</f>
        <v>290075</v>
      </c>
    </row>
    <row r="178" spans="1:7" x14ac:dyDescent="0.25">
      <c r="A178" t="str">
        <f>dados!A178</f>
        <v>20127</v>
      </c>
      <c r="B178">
        <f>dados!B178</f>
        <v>2012</v>
      </c>
      <c r="C178">
        <f>dados!C178</f>
        <v>7</v>
      </c>
      <c r="D178" s="26">
        <f>dados!D178</f>
        <v>41091</v>
      </c>
      <c r="E178" s="53">
        <f>ABS(SUMPRODUCT(dados!E:E,-(dados!$B:$B=$B178),-(dados!$C:$C&lt;=$C178)))</f>
        <v>952298</v>
      </c>
      <c r="F178" s="53">
        <f>ABS(SUMPRODUCT(dados!F:F,-(dados!$B:$B=$B178),-(dados!$C:$C&lt;=$C178)))</f>
        <v>454650</v>
      </c>
      <c r="G178" s="53">
        <f>ABS(SUMPRODUCT(dados!G:G,-(dados!$B:$B=$B178),-(dados!$C:$C&lt;=$C178)))</f>
        <v>338218</v>
      </c>
    </row>
    <row r="179" spans="1:7" x14ac:dyDescent="0.25">
      <c r="A179" t="str">
        <f>dados!A179</f>
        <v>20128</v>
      </c>
      <c r="B179">
        <f>dados!B179</f>
        <v>2012</v>
      </c>
      <c r="C179">
        <f>dados!C179</f>
        <v>8</v>
      </c>
      <c r="D179" s="26">
        <f>dados!D179</f>
        <v>41122</v>
      </c>
      <c r="E179" s="53">
        <f>ABS(SUMPRODUCT(dados!E:E,-(dados!$B:$B=$B179),-(dados!$C:$C&lt;=$C179)))</f>
        <v>1063865</v>
      </c>
      <c r="F179" s="53">
        <f>ABS(SUMPRODUCT(dados!F:F,-(dados!$B:$B=$B179),-(dados!$C:$C&lt;=$C179)))</f>
        <v>508681</v>
      </c>
      <c r="G179" s="53">
        <f>ABS(SUMPRODUCT(dados!G:G,-(dados!$B:$B=$B179),-(dados!$C:$C&lt;=$C179)))</f>
        <v>391431</v>
      </c>
    </row>
    <row r="180" spans="1:7" x14ac:dyDescent="0.25">
      <c r="A180" t="str">
        <f>dados!A180</f>
        <v>20129</v>
      </c>
      <c r="B180">
        <f>dados!B180</f>
        <v>2012</v>
      </c>
      <c r="C180">
        <f>dados!C180</f>
        <v>9</v>
      </c>
      <c r="D180" s="26">
        <f>dados!D180</f>
        <v>41153</v>
      </c>
      <c r="E180" s="53">
        <f>ABS(SUMPRODUCT(dados!E:E,-(dados!$B:$B=$B180),-(dados!$C:$C&lt;=$C180)))</f>
        <v>1161484</v>
      </c>
      <c r="F180" s="53">
        <f>ABS(SUMPRODUCT(dados!F:F,-(dados!$B:$B=$B180),-(dados!$C:$C&lt;=$C180)))</f>
        <v>555958</v>
      </c>
      <c r="G180" s="53">
        <f>ABS(SUMPRODUCT(dados!G:G,-(dados!$B:$B=$B180),-(dados!$C:$C&lt;=$C180)))</f>
        <v>445246</v>
      </c>
    </row>
    <row r="181" spans="1:7" x14ac:dyDescent="0.25">
      <c r="A181" t="str">
        <f>dados!A181</f>
        <v>201210</v>
      </c>
      <c r="B181">
        <f>dados!B181</f>
        <v>2012</v>
      </c>
      <c r="C181">
        <f>dados!C181</f>
        <v>10</v>
      </c>
      <c r="D181" s="26">
        <f>dados!D181</f>
        <v>41183</v>
      </c>
      <c r="E181" s="53">
        <f>ABS(SUMPRODUCT(dados!E:E,-(dados!$B:$B=$B181),-(dados!$C:$C&lt;=$C181)))</f>
        <v>1265111</v>
      </c>
      <c r="F181" s="53">
        <f>ABS(SUMPRODUCT(dados!F:F,-(dados!$B:$B=$B181),-(dados!$C:$C&lt;=$C181)))</f>
        <v>606144</v>
      </c>
      <c r="G181" s="53">
        <f>ABS(SUMPRODUCT(dados!G:G,-(dados!$B:$B=$B181),-(dados!$C:$C&lt;=$C181)))</f>
        <v>497258</v>
      </c>
    </row>
    <row r="182" spans="1:7" x14ac:dyDescent="0.25">
      <c r="A182" t="str">
        <f>dados!A182</f>
        <v>201211</v>
      </c>
      <c r="B182">
        <f>dados!B182</f>
        <v>2012</v>
      </c>
      <c r="C182">
        <f>dados!C182</f>
        <v>11</v>
      </c>
      <c r="D182" s="26">
        <f>dados!D182</f>
        <v>41214</v>
      </c>
      <c r="E182" s="53">
        <f>ABS(SUMPRODUCT(dados!E:E,-(dados!$B:$B=$B182),-(dados!$C:$C&lt;=$C182)))</f>
        <v>1405180</v>
      </c>
      <c r="F182" s="53">
        <f>ABS(SUMPRODUCT(dados!F:F,-(dados!$B:$B=$B182),-(dados!$C:$C&lt;=$C182)))</f>
        <v>673979</v>
      </c>
      <c r="G182" s="53">
        <f>ABS(SUMPRODUCT(dados!G:G,-(dados!$B:$B=$B182),-(dados!$C:$C&lt;=$C182)))</f>
        <v>549914</v>
      </c>
    </row>
    <row r="183" spans="1:7" x14ac:dyDescent="0.25">
      <c r="A183" t="str">
        <f>dados!A183</f>
        <v>201212</v>
      </c>
      <c r="B183">
        <f>dados!B183</f>
        <v>2012</v>
      </c>
      <c r="C183">
        <f>dados!C183</f>
        <v>12</v>
      </c>
      <c r="D183" s="26">
        <f>dados!D183</f>
        <v>41244</v>
      </c>
      <c r="E183" s="53">
        <f>ABS(SUMPRODUCT(dados!E:E,-(dados!$B:$B=$B183),-(dados!$C:$C&lt;=$C183)))</f>
        <v>1650224</v>
      </c>
      <c r="F183" s="53">
        <f>ABS(SUMPRODUCT(dados!F:F,-(dados!$B:$B=$B183),-(dados!$C:$C&lt;=$C183)))</f>
        <v>750653</v>
      </c>
      <c r="G183" s="53">
        <f>ABS(SUMPRODUCT(dados!G:G,-(dados!$B:$B=$B183),-(dados!$C:$C&lt;=$C183)))</f>
        <v>610376</v>
      </c>
    </row>
    <row r="184" spans="1:7" x14ac:dyDescent="0.25">
      <c r="A184" t="str">
        <f>dados!A184</f>
        <v>20131</v>
      </c>
      <c r="B184">
        <f>dados!B184</f>
        <v>2013</v>
      </c>
      <c r="C184">
        <f>dados!C184</f>
        <v>1</v>
      </c>
      <c r="D184" s="26">
        <f>dados!D184</f>
        <v>41275</v>
      </c>
      <c r="E184" s="53">
        <f>ABS(SUMPRODUCT(dados!E:E,-(dados!$B:$B=$B184),-(dados!$C:$C&lt;=$C184)))</f>
        <v>146430</v>
      </c>
      <c r="F184" s="53">
        <f>ABS(SUMPRODUCT(dados!F:F,-(dados!$B:$B=$B184),-(dados!$C:$C&lt;=$C184)))</f>
        <v>70892</v>
      </c>
      <c r="G184" s="53">
        <f>ABS(SUMPRODUCT(dados!G:G,-(dados!$B:$B=$B184),-(dados!$C:$C&lt;=$C184)))</f>
        <v>65708</v>
      </c>
    </row>
    <row r="185" spans="1:7" x14ac:dyDescent="0.25">
      <c r="A185" t="str">
        <f>dados!A185</f>
        <v>20132</v>
      </c>
      <c r="B185">
        <f>dados!B185</f>
        <v>2013</v>
      </c>
      <c r="C185">
        <f>dados!C185</f>
        <v>2</v>
      </c>
      <c r="D185" s="26">
        <f>dados!D185</f>
        <v>41306</v>
      </c>
      <c r="E185" s="53">
        <f>ABS(SUMPRODUCT(dados!E:E,-(dados!$B:$B=$B185),-(dados!$C:$C&lt;=$C185)))</f>
        <v>343338</v>
      </c>
      <c r="F185" s="53">
        <f>ABS(SUMPRODUCT(dados!F:F,-(dados!$B:$B=$B185),-(dados!$C:$C&lt;=$C185)))</f>
        <v>166270</v>
      </c>
      <c r="G185" s="53">
        <f>ABS(SUMPRODUCT(dados!G:G,-(dados!$B:$B=$B185),-(dados!$C:$C&lt;=$C185)))</f>
        <v>116161</v>
      </c>
    </row>
    <row r="186" spans="1:7" x14ac:dyDescent="0.25">
      <c r="A186" t="str">
        <f>dados!A186</f>
        <v>20133</v>
      </c>
      <c r="B186">
        <f>dados!B186</f>
        <v>2013</v>
      </c>
      <c r="C186">
        <f>dados!C186</f>
        <v>3</v>
      </c>
      <c r="D186" s="26">
        <f>dados!D186</f>
        <v>41334</v>
      </c>
      <c r="E186" s="53">
        <f>ABS(SUMPRODUCT(dados!E:E,-(dados!$B:$B=$B186),-(dados!$C:$C&lt;=$C186)))</f>
        <v>456565</v>
      </c>
      <c r="F186" s="53">
        <f>ABS(SUMPRODUCT(dados!F:F,-(dados!$B:$B=$B186),-(dados!$C:$C&lt;=$C186)))</f>
        <v>221201</v>
      </c>
      <c r="G186" s="53">
        <f>ABS(SUMPRODUCT(dados!G:G,-(dados!$B:$B=$B186),-(dados!$C:$C&lt;=$C186)))</f>
        <v>160700</v>
      </c>
    </row>
    <row r="187" spans="1:7" x14ac:dyDescent="0.25">
      <c r="A187" t="str">
        <f>dados!A187</f>
        <v>20134</v>
      </c>
      <c r="B187">
        <f>dados!B187</f>
        <v>2013</v>
      </c>
      <c r="C187">
        <f>dados!C187</f>
        <v>4</v>
      </c>
      <c r="D187" s="26">
        <f>dados!D187</f>
        <v>41365</v>
      </c>
      <c r="E187" s="53">
        <f>ABS(SUMPRODUCT(dados!E:E,-(dados!$B:$B=$B187),-(dados!$C:$C&lt;=$C187)))</f>
        <v>578055</v>
      </c>
      <c r="F187" s="53">
        <f>ABS(SUMPRODUCT(dados!F:F,-(dados!$B:$B=$B187),-(dados!$C:$C&lt;=$C187)))</f>
        <v>280140</v>
      </c>
      <c r="G187" s="53">
        <f>ABS(SUMPRODUCT(dados!G:G,-(dados!$B:$B=$B187),-(dados!$C:$C&lt;=$C187)))</f>
        <v>201540</v>
      </c>
    </row>
    <row r="188" spans="1:7" x14ac:dyDescent="0.25">
      <c r="A188" t="str">
        <f>dados!A188</f>
        <v>20135</v>
      </c>
      <c r="B188">
        <f>dados!B188</f>
        <v>2013</v>
      </c>
      <c r="C188">
        <f>dados!C188</f>
        <v>5</v>
      </c>
      <c r="D188" s="26">
        <f>dados!D188</f>
        <v>41395</v>
      </c>
      <c r="E188" s="53">
        <f>ABS(SUMPRODUCT(dados!E:E,-(dados!$B:$B=$B188),-(dados!$C:$C&lt;=$C188)))</f>
        <v>752619</v>
      </c>
      <c r="F188" s="53">
        <f>ABS(SUMPRODUCT(dados!F:F,-(dados!$B:$B=$B188),-(dados!$C:$C&lt;=$C188)))</f>
        <v>364828</v>
      </c>
      <c r="G188" s="53">
        <f>ABS(SUMPRODUCT(dados!G:G,-(dados!$B:$B=$B188),-(dados!$C:$C&lt;=$C188)))</f>
        <v>256457</v>
      </c>
    </row>
    <row r="189" spans="1:7" x14ac:dyDescent="0.25">
      <c r="A189" t="str">
        <f>dados!A189</f>
        <v>20136</v>
      </c>
      <c r="B189">
        <f>dados!B189</f>
        <v>2013</v>
      </c>
      <c r="C189">
        <f>dados!C189</f>
        <v>6</v>
      </c>
      <c r="D189" s="26">
        <f>dados!D189</f>
        <v>41426</v>
      </c>
      <c r="E189" s="53">
        <f>ABS(SUMPRODUCT(dados!E:E,-(dados!$B:$B=$B189),-(dados!$C:$C&lt;=$C189)))</f>
        <v>898412</v>
      </c>
      <c r="F189" s="53">
        <f>ABS(SUMPRODUCT(dados!F:F,-(dados!$B:$B=$B189),-(dados!$C:$C&lt;=$C189)))</f>
        <v>435482</v>
      </c>
      <c r="G189" s="53">
        <f>ABS(SUMPRODUCT(dados!G:G,-(dados!$B:$B=$B189),-(dados!$C:$C&lt;=$C189)))</f>
        <v>313654</v>
      </c>
    </row>
    <row r="190" spans="1:7" x14ac:dyDescent="0.25">
      <c r="A190" t="str">
        <f>dados!A190</f>
        <v>20137</v>
      </c>
      <c r="B190">
        <f>dados!B190</f>
        <v>2013</v>
      </c>
      <c r="C190">
        <f>dados!C190</f>
        <v>7</v>
      </c>
      <c r="D190" s="26">
        <f>dados!D190</f>
        <v>41456</v>
      </c>
      <c r="E190" s="53">
        <f>ABS(SUMPRODUCT(dados!E:E,-(dados!$B:$B=$B190),-(dados!$C:$C&lt;=$C190)))</f>
        <v>1002125</v>
      </c>
      <c r="F190" s="53">
        <f>ABS(SUMPRODUCT(dados!F:F,-(dados!$B:$B=$B190),-(dados!$C:$C&lt;=$C190)))</f>
        <v>485797</v>
      </c>
      <c r="G190" s="53">
        <f>ABS(SUMPRODUCT(dados!G:G,-(dados!$B:$B=$B190),-(dados!$C:$C&lt;=$C190)))</f>
        <v>369995</v>
      </c>
    </row>
    <row r="191" spans="1:7" x14ac:dyDescent="0.25">
      <c r="A191" t="str">
        <f>dados!A191</f>
        <v>20138</v>
      </c>
      <c r="B191">
        <f>dados!B191</f>
        <v>2013</v>
      </c>
      <c r="C191">
        <f>dados!C191</f>
        <v>8</v>
      </c>
      <c r="D191" s="26">
        <f>dados!D191</f>
        <v>41487</v>
      </c>
      <c r="E191" s="53">
        <f>ABS(SUMPRODUCT(dados!E:E,-(dados!$B:$B=$B191),-(dados!$C:$C&lt;=$C191)))</f>
        <v>1137727</v>
      </c>
      <c r="F191" s="53">
        <f>ABS(SUMPRODUCT(dados!F:F,-(dados!$B:$B=$B191),-(dados!$C:$C&lt;=$C191)))</f>
        <v>551583</v>
      </c>
      <c r="G191" s="53">
        <f>ABS(SUMPRODUCT(dados!G:G,-(dados!$B:$B=$B191),-(dados!$C:$C&lt;=$C191)))</f>
        <v>430280</v>
      </c>
    </row>
    <row r="192" spans="1:7" x14ac:dyDescent="0.25">
      <c r="A192" t="str">
        <f>dados!A192</f>
        <v>20139</v>
      </c>
      <c r="B192">
        <f>dados!B192</f>
        <v>2013</v>
      </c>
      <c r="C192">
        <f>dados!C192</f>
        <v>9</v>
      </c>
      <c r="D192" s="26">
        <f>dados!D192</f>
        <v>41518</v>
      </c>
      <c r="E192" s="53">
        <f>ABS(SUMPRODUCT(dados!E:E,-(dados!$B:$B=$B192),-(dados!$C:$C&lt;=$C192)))</f>
        <v>1249956</v>
      </c>
      <c r="F192" s="53">
        <f>ABS(SUMPRODUCT(dados!F:F,-(dados!$B:$B=$B192),-(dados!$C:$C&lt;=$C192)))</f>
        <v>606030</v>
      </c>
      <c r="G192" s="53">
        <f>ABS(SUMPRODUCT(dados!G:G,-(dados!$B:$B=$B192),-(dados!$C:$C&lt;=$C192)))</f>
        <v>485117</v>
      </c>
    </row>
    <row r="193" spans="1:7" x14ac:dyDescent="0.25">
      <c r="A193" t="str">
        <f>dados!A193</f>
        <v>201310</v>
      </c>
      <c r="B193">
        <f>dados!B193</f>
        <v>2013</v>
      </c>
      <c r="C193">
        <f>dados!C193</f>
        <v>10</v>
      </c>
      <c r="D193" s="26">
        <f>dados!D193</f>
        <v>41548</v>
      </c>
      <c r="E193" s="53">
        <f>ABS(SUMPRODUCT(dados!E:E,-(dados!$B:$B=$B193),-(dados!$C:$C&lt;=$C193)))</f>
        <v>1362187</v>
      </c>
      <c r="F193" s="53">
        <f>ABS(SUMPRODUCT(dados!F:F,-(dados!$B:$B=$B193),-(dados!$C:$C&lt;=$C193)))</f>
        <v>660477</v>
      </c>
      <c r="G193" s="53">
        <f>ABS(SUMPRODUCT(dados!G:G,-(dados!$B:$B=$B193),-(dados!$C:$C&lt;=$C193)))</f>
        <v>543738</v>
      </c>
    </row>
    <row r="194" spans="1:7" x14ac:dyDescent="0.25">
      <c r="A194" t="str">
        <f>dados!A194</f>
        <v>201311</v>
      </c>
      <c r="B194">
        <f>dados!B194</f>
        <v>2013</v>
      </c>
      <c r="C194">
        <f>dados!C194</f>
        <v>11</v>
      </c>
      <c r="D194" s="26">
        <f>dados!D194</f>
        <v>41579</v>
      </c>
      <c r="E194" s="53">
        <f>ABS(SUMPRODUCT(dados!E:E,-(dados!$B:$B=$B194),-(dados!$C:$C&lt;=$C194)))</f>
        <v>1518297</v>
      </c>
      <c r="F194" s="53">
        <f>ABS(SUMPRODUCT(dados!F:F,-(dados!$B:$B=$B194),-(dados!$C:$C&lt;=$C194)))</f>
        <v>736212</v>
      </c>
      <c r="G194" s="53">
        <f>ABS(SUMPRODUCT(dados!G:G,-(dados!$B:$B=$B194),-(dados!$C:$C&lt;=$C194)))</f>
        <v>608764</v>
      </c>
    </row>
    <row r="195" spans="1:7" x14ac:dyDescent="0.25">
      <c r="A195" t="str">
        <f>dados!A195</f>
        <v>201312</v>
      </c>
      <c r="B195">
        <f>dados!B195</f>
        <v>2013</v>
      </c>
      <c r="C195">
        <f>dados!C195</f>
        <v>12</v>
      </c>
      <c r="D195" s="26">
        <f>dados!D195</f>
        <v>41609</v>
      </c>
      <c r="E195" s="53">
        <f>ABS(SUMPRODUCT(dados!E:E,-(dados!$B:$B=$B195),-(dados!$C:$C&lt;=$C195)))</f>
        <v>1772432</v>
      </c>
      <c r="F195" s="53">
        <f>ABS(SUMPRODUCT(dados!F:F,-(dados!$B:$B=$B195),-(dados!$C:$C&lt;=$C195)))</f>
        <v>814327</v>
      </c>
      <c r="G195" s="53">
        <f>ABS(SUMPRODUCT(dados!G:G,-(dados!$B:$B=$B195),-(dados!$C:$C&lt;=$C195)))</f>
        <v>678263</v>
      </c>
    </row>
    <row r="196" spans="1:7" x14ac:dyDescent="0.25">
      <c r="A196" t="str">
        <f>dados!A196</f>
        <v>20141</v>
      </c>
      <c r="B196">
        <f>dados!B196</f>
        <v>2014</v>
      </c>
      <c r="C196">
        <f>dados!C196</f>
        <v>1</v>
      </c>
      <c r="D196" s="26">
        <f>dados!D196</f>
        <v>41640</v>
      </c>
      <c r="E196" s="53">
        <f>ABS(SUMPRODUCT(dados!E:E,-(dados!$B:$B=$B196),-(dados!$C:$C&lt;=$C196)))</f>
        <v>191969</v>
      </c>
      <c r="F196" s="53">
        <f>ABS(SUMPRODUCT(dados!F:F,-(dados!$B:$B=$B196),-(dados!$C:$C&lt;=$C196)))</f>
        <v>93362</v>
      </c>
      <c r="G196" s="53">
        <f>ABS(SUMPRODUCT(dados!G:G,-(dados!$B:$B=$B196),-(dados!$C:$C&lt;=$C196)))</f>
        <v>56331</v>
      </c>
    </row>
    <row r="197" spans="1:7" x14ac:dyDescent="0.25">
      <c r="A197" t="str">
        <f>dados!A197</f>
        <v>20142</v>
      </c>
      <c r="B197">
        <f>dados!B197</f>
        <v>2014</v>
      </c>
      <c r="C197">
        <f>dados!C197</f>
        <v>2</v>
      </c>
      <c r="D197" s="26">
        <f>dados!D197</f>
        <v>41671</v>
      </c>
      <c r="E197" s="53">
        <f>ABS(SUMPRODUCT(dados!E:E,-(dados!$B:$B=$B197),-(dados!$C:$C&lt;=$C197)))</f>
        <v>396963</v>
      </c>
      <c r="F197" s="53">
        <f>ABS(SUMPRODUCT(dados!F:F,-(dados!$B:$B=$B197),-(dados!$C:$C&lt;=$C197)))</f>
        <v>193059</v>
      </c>
      <c r="G197" s="53">
        <f>ABS(SUMPRODUCT(dados!G:G,-(dados!$B:$B=$B197),-(dados!$C:$C&lt;=$C197)))</f>
        <v>104022</v>
      </c>
    </row>
    <row r="198" spans="1:7" x14ac:dyDescent="0.25">
      <c r="A198" t="str">
        <f>dados!A198</f>
        <v>20143</v>
      </c>
      <c r="B198">
        <f>dados!B198</f>
        <v>2014</v>
      </c>
      <c r="C198">
        <f>dados!C198</f>
        <v>3</v>
      </c>
      <c r="D198" s="26">
        <f>dados!D198</f>
        <v>41699</v>
      </c>
      <c r="E198" s="53">
        <f>ABS(SUMPRODUCT(dados!E:E,-(dados!$B:$B=$B198),-(dados!$C:$C&lt;=$C198)))</f>
        <v>518565</v>
      </c>
      <c r="F198" s="53">
        <f>ABS(SUMPRODUCT(dados!F:F,-(dados!$B:$B=$B198),-(dados!$C:$C&lt;=$C198)))</f>
        <v>252199</v>
      </c>
      <c r="G198" s="53">
        <f>ABS(SUMPRODUCT(dados!G:G,-(dados!$B:$B=$B198),-(dados!$C:$C&lt;=$C198)))</f>
        <v>150622</v>
      </c>
    </row>
    <row r="199" spans="1:7" x14ac:dyDescent="0.25">
      <c r="A199" t="str">
        <f>dados!A199</f>
        <v>20144</v>
      </c>
      <c r="B199">
        <f>dados!B199</f>
        <v>2014</v>
      </c>
      <c r="C199">
        <f>dados!C199</f>
        <v>4</v>
      </c>
      <c r="D199" s="26">
        <f>dados!D199</f>
        <v>41730</v>
      </c>
      <c r="E199" s="53">
        <f>ABS(SUMPRODUCT(dados!E:E,-(dados!$B:$B=$B199),-(dados!$C:$C&lt;=$C199)))</f>
        <v>657353</v>
      </c>
      <c r="F199" s="53">
        <f>ABS(SUMPRODUCT(dados!F:F,-(dados!$B:$B=$B199),-(dados!$C:$C&lt;=$C199)))</f>
        <v>319697</v>
      </c>
      <c r="G199" s="53">
        <f>ABS(SUMPRODUCT(dados!G:G,-(dados!$B:$B=$B199),-(dados!$C:$C&lt;=$C199)))</f>
        <v>201436</v>
      </c>
    </row>
    <row r="200" spans="1:7" x14ac:dyDescent="0.25">
      <c r="A200" t="str">
        <f>dados!A200</f>
        <v>20145</v>
      </c>
      <c r="B200">
        <f>dados!B200</f>
        <v>2014</v>
      </c>
      <c r="C200">
        <f>dados!C200</f>
        <v>5</v>
      </c>
      <c r="D200" s="26">
        <f>dados!D200</f>
        <v>41760</v>
      </c>
      <c r="E200" s="53">
        <f>ABS(SUMPRODUCT(dados!E:E,-(dados!$B:$B=$B200),-(dados!$C:$C&lt;=$C200)))</f>
        <v>842305</v>
      </c>
      <c r="F200" s="53">
        <f>ABS(SUMPRODUCT(dados!F:F,-(dados!$B:$B=$B200),-(dados!$C:$C&lt;=$C200)))</f>
        <v>409646</v>
      </c>
      <c r="G200" s="53">
        <f>ABS(SUMPRODUCT(dados!G:G,-(dados!$B:$B=$B200),-(dados!$C:$C&lt;=$C200)))</f>
        <v>256704</v>
      </c>
    </row>
    <row r="201" spans="1:7" x14ac:dyDescent="0.25">
      <c r="A201" t="str">
        <f>dados!A201</f>
        <v>20146</v>
      </c>
      <c r="B201">
        <f>dados!B201</f>
        <v>2014</v>
      </c>
      <c r="C201">
        <f>dados!C201</f>
        <v>6</v>
      </c>
      <c r="D201" s="26">
        <f>dados!D201</f>
        <v>41791</v>
      </c>
      <c r="E201" s="53">
        <f>ABS(SUMPRODUCT(dados!E:E,-(dados!$B:$B=$B201),-(dados!$C:$C&lt;=$C201)))</f>
        <v>981007</v>
      </c>
      <c r="F201" s="53">
        <f>ABS(SUMPRODUCT(dados!F:F,-(dados!$B:$B=$B201),-(dados!$C:$C&lt;=$C201)))</f>
        <v>477102</v>
      </c>
      <c r="G201" s="53">
        <f>ABS(SUMPRODUCT(dados!G:G,-(dados!$B:$B=$B201),-(dados!$C:$C&lt;=$C201)))</f>
        <v>309344</v>
      </c>
    </row>
    <row r="202" spans="1:7" x14ac:dyDescent="0.25">
      <c r="A202" t="str">
        <f>dados!A202</f>
        <v>20147</v>
      </c>
      <c r="B202">
        <f>dados!B202</f>
        <v>2014</v>
      </c>
      <c r="C202">
        <f>dados!C202</f>
        <v>7</v>
      </c>
      <c r="D202" s="26">
        <f>dados!D202</f>
        <v>41821</v>
      </c>
      <c r="E202" s="53">
        <f>ABS(SUMPRODUCT(dados!E:E,-(dados!$B:$B=$B202),-(dados!$C:$C&lt;=$C202)))</f>
        <v>1100134</v>
      </c>
      <c r="F202" s="53">
        <f>ABS(SUMPRODUCT(dados!F:F,-(dados!$B:$B=$B202),-(dados!$C:$C&lt;=$C202)))</f>
        <v>535038</v>
      </c>
      <c r="G202" s="53">
        <f>ABS(SUMPRODUCT(dados!G:G,-(dados!$B:$B=$B202),-(dados!$C:$C&lt;=$C202)))</f>
        <v>363421</v>
      </c>
    </row>
    <row r="203" spans="1:7" x14ac:dyDescent="0.25">
      <c r="A203" t="str">
        <f>dados!A203</f>
        <v>20148</v>
      </c>
      <c r="B203">
        <f>dados!B203</f>
        <v>2014</v>
      </c>
      <c r="C203">
        <f>dados!C203</f>
        <v>8</v>
      </c>
      <c r="D203" s="26">
        <f>dados!D203</f>
        <v>41852</v>
      </c>
      <c r="E203" s="53">
        <f>ABS(SUMPRODUCT(dados!E:E,-(dados!$B:$B=$B203),-(dados!$C:$C&lt;=$C203)))</f>
        <v>1244854</v>
      </c>
      <c r="F203" s="53">
        <f>ABS(SUMPRODUCT(dados!F:F,-(dados!$B:$B=$B203),-(dados!$C:$C&lt;=$C203)))</f>
        <v>605421</v>
      </c>
      <c r="G203" s="53">
        <f>ABS(SUMPRODUCT(dados!G:G,-(dados!$B:$B=$B203),-(dados!$C:$C&lt;=$C203)))</f>
        <v>419163</v>
      </c>
    </row>
    <row r="204" spans="1:7" x14ac:dyDescent="0.25">
      <c r="A204" t="str">
        <f>dados!A204</f>
        <v>20149</v>
      </c>
      <c r="B204">
        <f>dados!B204</f>
        <v>2014</v>
      </c>
      <c r="C204">
        <f>dados!C204</f>
        <v>9</v>
      </c>
      <c r="D204" s="26">
        <f>dados!D204</f>
        <v>41883</v>
      </c>
      <c r="E204" s="53">
        <f>ABS(SUMPRODUCT(dados!E:E,-(dados!$B:$B=$B204),-(dados!$C:$C&lt;=$C204)))</f>
        <v>1371713</v>
      </c>
      <c r="F204" s="53">
        <f>ABS(SUMPRODUCT(dados!F:F,-(dados!$B:$B=$B204),-(dados!$C:$C&lt;=$C204)))</f>
        <v>667117</v>
      </c>
      <c r="G204" s="53">
        <f>ABS(SUMPRODUCT(dados!G:G,-(dados!$B:$B=$B204),-(dados!$C:$C&lt;=$C204)))</f>
        <v>471619</v>
      </c>
    </row>
    <row r="205" spans="1:7" x14ac:dyDescent="0.25">
      <c r="A205" t="str">
        <f>dados!A205</f>
        <v>201410</v>
      </c>
      <c r="B205">
        <f>dados!B205</f>
        <v>2014</v>
      </c>
      <c r="C205">
        <f>dados!C205</f>
        <v>10</v>
      </c>
      <c r="D205" s="26">
        <f>dados!D205</f>
        <v>41913</v>
      </c>
      <c r="E205" s="53">
        <f>ABS(SUMPRODUCT(dados!E:E,-(dados!$B:$B=$B205),-(dados!$C:$C&lt;=$C205)))</f>
        <v>1491608</v>
      </c>
      <c r="F205" s="53">
        <f>ABS(SUMPRODUCT(dados!F:F,-(dados!$B:$B=$B205),-(dados!$C:$C&lt;=$C205)))</f>
        <v>725426</v>
      </c>
      <c r="G205" s="53">
        <f>ABS(SUMPRODUCT(dados!G:G,-(dados!$B:$B=$B205),-(dados!$C:$C&lt;=$C205)))</f>
        <v>527795</v>
      </c>
    </row>
    <row r="206" spans="1:7" x14ac:dyDescent="0.25">
      <c r="A206" t="str">
        <f>dados!A206</f>
        <v>201411</v>
      </c>
      <c r="B206">
        <f>dados!B206</f>
        <v>2014</v>
      </c>
      <c r="C206">
        <f>dados!C206</f>
        <v>11</v>
      </c>
      <c r="D206" s="26">
        <f>dados!D206</f>
        <v>41944</v>
      </c>
      <c r="E206" s="53">
        <f>ABS(SUMPRODUCT(dados!E:E,-(dados!$B:$B=$B206),-(dados!$C:$C&lt;=$C206)))</f>
        <v>1650304</v>
      </c>
      <c r="F206" s="53">
        <f>ABS(SUMPRODUCT(dados!F:F,-(dados!$B:$B=$B206),-(dados!$C:$C&lt;=$C206)))</f>
        <v>802606</v>
      </c>
      <c r="G206" s="53">
        <f>ABS(SUMPRODUCT(dados!G:G,-(dados!$B:$B=$B206),-(dados!$C:$C&lt;=$C206)))</f>
        <v>592302</v>
      </c>
    </row>
    <row r="207" spans="1:7" x14ac:dyDescent="0.25">
      <c r="A207" t="str">
        <f>dados!A207</f>
        <v>201412</v>
      </c>
      <c r="B207">
        <f>dados!B207</f>
        <v>2014</v>
      </c>
      <c r="C207">
        <f>dados!C207</f>
        <v>12</v>
      </c>
      <c r="D207" s="26">
        <f>dados!D207</f>
        <v>41974</v>
      </c>
      <c r="E207" s="53">
        <f>ABS(SUMPRODUCT(dados!E:E,-(dados!$B:$B=$B207),-(dados!$C:$C&lt;=$C207)))</f>
        <v>1925784</v>
      </c>
      <c r="F207" s="53">
        <f>ABS(SUMPRODUCT(dados!F:F,-(dados!$B:$B=$B207),-(dados!$C:$C&lt;=$C207)))</f>
        <v>887382</v>
      </c>
      <c r="G207" s="53">
        <f>ABS(SUMPRODUCT(dados!G:G,-(dados!$B:$B=$B207),-(dados!$C:$C&lt;=$C207)))</f>
        <v>655952</v>
      </c>
    </row>
    <row r="208" spans="1:7" x14ac:dyDescent="0.25">
      <c r="A208" t="str">
        <f>dados!A208</f>
        <v>20151</v>
      </c>
      <c r="B208">
        <f>dados!B208</f>
        <v>2015</v>
      </c>
      <c r="C208">
        <f>dados!C208</f>
        <v>1</v>
      </c>
      <c r="D208" s="26">
        <f>dados!D208</f>
        <v>42005</v>
      </c>
      <c r="E208" s="53">
        <f>ABS(SUMPRODUCT(dados!E:E,-(dados!$B:$B=$B208),-(dados!$C:$C&lt;=$C208)))</f>
        <v>191268</v>
      </c>
      <c r="F208" s="53">
        <f>ABS(SUMPRODUCT(dados!F:F,-(dados!$B:$B=$B208),-(dados!$C:$C&lt;=$C208)))</f>
        <v>94969</v>
      </c>
      <c r="G208" s="53">
        <f>ABS(SUMPRODUCT(dados!G:G,-(dados!$B:$B=$B208),-(dados!$C:$C&lt;=$C208)))</f>
        <v>71032.475879999998</v>
      </c>
    </row>
    <row r="209" spans="1:7" x14ac:dyDescent="0.25">
      <c r="A209" t="str">
        <f>dados!A209</f>
        <v>20152</v>
      </c>
      <c r="B209">
        <f>dados!B209</f>
        <v>2015</v>
      </c>
      <c r="C209">
        <f>dados!C209</f>
        <v>2</v>
      </c>
      <c r="D209" s="26">
        <f>dados!D209</f>
        <v>42036</v>
      </c>
      <c r="E209" s="53">
        <f>ABS(SUMPRODUCT(dados!E:E,-(dados!$B:$B=$B209),-(dados!$C:$C&lt;=$C209)))</f>
        <v>386515</v>
      </c>
      <c r="F209" s="53">
        <f>ABS(SUMPRODUCT(dados!F:F,-(dados!$B:$B=$B209),-(dados!$C:$C&lt;=$C209)))</f>
        <v>191914</v>
      </c>
      <c r="G209" s="53">
        <f>ABS(SUMPRODUCT(dados!G:G,-(dados!$B:$B=$B209),-(dados!$C:$C&lt;=$C209)))</f>
        <v>113291.09643999999</v>
      </c>
    </row>
    <row r="210" spans="1:7" x14ac:dyDescent="0.25">
      <c r="A210" t="str">
        <f>dados!A210</f>
        <v>20153</v>
      </c>
      <c r="B210">
        <f>dados!B210</f>
        <v>2015</v>
      </c>
      <c r="C210">
        <f>dados!C210</f>
        <v>3</v>
      </c>
      <c r="D210" s="26">
        <f>dados!D210</f>
        <v>42064</v>
      </c>
      <c r="E210" s="53">
        <f>ABS(SUMPRODUCT(dados!E:E,-(dados!$B:$B=$B210),-(dados!$C:$C&lt;=$C210)))</f>
        <v>528724</v>
      </c>
      <c r="F210" s="53">
        <f>ABS(SUMPRODUCT(dados!F:F,-(dados!$B:$B=$B210),-(dados!$C:$C&lt;=$C210)))</f>
        <v>262524</v>
      </c>
      <c r="G210" s="53">
        <f>ABS(SUMPRODUCT(dados!G:G,-(dados!$B:$B=$B210),-(dados!$C:$C&lt;=$C210)))</f>
        <v>154742.41466000001</v>
      </c>
    </row>
    <row r="211" spans="1:7" x14ac:dyDescent="0.25">
      <c r="A211" t="str">
        <f>dados!A211</f>
        <v>20154</v>
      </c>
      <c r="B211">
        <f>dados!B211</f>
        <v>2015</v>
      </c>
      <c r="C211">
        <f>dados!C211</f>
        <v>4</v>
      </c>
      <c r="D211" s="26">
        <f>dados!D211</f>
        <v>42095</v>
      </c>
      <c r="E211" s="53">
        <f>ABS(SUMPRODUCT(dados!E:E,-(dados!$B:$B=$B211),-(dados!$C:$C&lt;=$C211)))</f>
        <v>682205.1396900001</v>
      </c>
      <c r="F211" s="53">
        <f>ABS(SUMPRODUCT(dados!F:F,-(dados!$B:$B=$B211),-(dados!$C:$C&lt;=$C211)))</f>
        <v>338730.98054000002</v>
      </c>
      <c r="G211" s="53">
        <f>ABS(SUMPRODUCT(dados!G:G,-(dados!$B:$B=$B211),-(dados!$C:$C&lt;=$C211)))</f>
        <v>198157.67017</v>
      </c>
    </row>
    <row r="212" spans="1:7" x14ac:dyDescent="0.25">
      <c r="A212" t="str">
        <f>dados!A212</f>
        <v>20155</v>
      </c>
      <c r="B212">
        <f>dados!B212</f>
        <v>2015</v>
      </c>
      <c r="C212">
        <f>dados!C212</f>
        <v>5</v>
      </c>
      <c r="D212" s="26">
        <f>dados!D212</f>
        <v>42125</v>
      </c>
      <c r="E212" s="53">
        <f>ABS(SUMPRODUCT(dados!E:E,-(dados!$B:$B=$B212),-(dados!$C:$C&lt;=$C212)))</f>
        <v>870944.12719000014</v>
      </c>
      <c r="F212" s="53">
        <f>ABS(SUMPRODUCT(dados!F:F,-(dados!$B:$B=$B212),-(dados!$C:$C&lt;=$C212)))</f>
        <v>432444.3089</v>
      </c>
      <c r="G212" s="53">
        <f>ABS(SUMPRODUCT(dados!G:G,-(dados!$B:$B=$B212),-(dados!$C:$C&lt;=$C212)))</f>
        <v>247134.93079000001</v>
      </c>
    </row>
    <row r="213" spans="1:7" x14ac:dyDescent="0.25">
      <c r="A213" t="str">
        <f>dados!A213</f>
        <v>20156</v>
      </c>
      <c r="B213">
        <f>dados!B213</f>
        <v>2015</v>
      </c>
      <c r="C213">
        <f>dados!C213</f>
        <v>6</v>
      </c>
      <c r="D213" s="26">
        <f>dados!D213</f>
        <v>42156</v>
      </c>
      <c r="E213" s="53">
        <f>ABS(SUMPRODUCT(dados!E:E,-(dados!$B:$B=$B213),-(dados!$C:$C&lt;=$C213)))</f>
        <v>1035166.17986</v>
      </c>
      <c r="F213" s="53">
        <f>ABS(SUMPRODUCT(dados!F:F,-(dados!$B:$B=$B213),-(dados!$C:$C&lt;=$C213)))</f>
        <v>513984.40512000001</v>
      </c>
      <c r="G213" s="53">
        <f>ABS(SUMPRODUCT(dados!G:G,-(dados!$B:$B=$B213),-(dados!$C:$C&lt;=$C213)))</f>
        <v>293785.82242000004</v>
      </c>
    </row>
    <row r="214" spans="1:7" x14ac:dyDescent="0.25">
      <c r="A214" t="str">
        <f>dados!A214</f>
        <v>20157</v>
      </c>
      <c r="B214">
        <f>dados!B214</f>
        <v>2015</v>
      </c>
      <c r="C214">
        <f>dados!C214</f>
        <v>7</v>
      </c>
      <c r="D214" s="26">
        <f>dados!D214</f>
        <v>42186</v>
      </c>
      <c r="E214" s="53">
        <f>ABS(SUMPRODUCT(dados!E:E,-(dados!$B:$B=$B214),-(dados!$C:$C&lt;=$C214)))</f>
        <v>1184582.2263300002</v>
      </c>
      <c r="F214" s="53">
        <f>ABS(SUMPRODUCT(dados!F:F,-(dados!$B:$B=$B214),-(dados!$C:$C&lt;=$C214)))</f>
        <v>574362.28992000001</v>
      </c>
      <c r="G214" s="53">
        <f>ABS(SUMPRODUCT(dados!G:G,-(dados!$B:$B=$B214),-(dados!$C:$C&lt;=$C214)))</f>
        <v>336760.74081000005</v>
      </c>
    </row>
    <row r="215" spans="1:7" x14ac:dyDescent="0.25">
      <c r="A215" t="str">
        <f>dados!A215</f>
        <v>20158</v>
      </c>
      <c r="B215">
        <f>dados!B215</f>
        <v>2015</v>
      </c>
      <c r="C215">
        <f>dados!C215</f>
        <v>8</v>
      </c>
      <c r="D215" s="26">
        <f>dados!D215</f>
        <v>42217</v>
      </c>
      <c r="E215" s="53">
        <f>ABS(SUMPRODUCT(dados!E:E,-(dados!$B:$B=$B215),-(dados!$C:$C&lt;=$C215)))</f>
        <v>1326803.4286000002</v>
      </c>
      <c r="F215" s="53">
        <f>ABS(SUMPRODUCT(dados!F:F,-(dados!$B:$B=$B215),-(dados!$C:$C&lt;=$C215)))</f>
        <v>644978.44802000001</v>
      </c>
      <c r="G215" s="53">
        <f>ABS(SUMPRODUCT(dados!G:G,-(dados!$B:$B=$B215),-(dados!$C:$C&lt;=$C215)))</f>
        <v>382488.05854000006</v>
      </c>
    </row>
    <row r="216" spans="1:7" x14ac:dyDescent="0.25">
      <c r="A216" t="str">
        <f>dados!A216</f>
        <v>20159</v>
      </c>
      <c r="B216">
        <f>dados!B216</f>
        <v>2015</v>
      </c>
      <c r="C216">
        <f>dados!C216</f>
        <v>9</v>
      </c>
      <c r="D216" s="26">
        <f>dados!D216</f>
        <v>42248</v>
      </c>
      <c r="E216" s="53">
        <f>ABS(SUMPRODUCT(dados!E:E,-(dados!$B:$B=$B216),-(dados!$C:$C&lt;=$C216)))</f>
        <v>1445374.1290500001</v>
      </c>
      <c r="F216" s="53">
        <f>ABS(SUMPRODUCT(dados!F:F,-(dados!$B:$B=$B216),-(dados!$C:$C&lt;=$C216)))</f>
        <v>703851.57819999999</v>
      </c>
      <c r="G216" s="53">
        <f>ABS(SUMPRODUCT(dados!G:G,-(dados!$B:$B=$B216),-(dados!$C:$C&lt;=$C216)))</f>
        <v>428085.47613000008</v>
      </c>
    </row>
    <row r="217" spans="1:7" x14ac:dyDescent="0.25">
      <c r="A217" t="str">
        <f>dados!A217</f>
        <v>201510</v>
      </c>
      <c r="B217">
        <f>dados!B217</f>
        <v>2015</v>
      </c>
      <c r="C217">
        <f>dados!C217</f>
        <v>10</v>
      </c>
      <c r="D217" s="26">
        <f>dados!D217</f>
        <v>42278</v>
      </c>
      <c r="E217" s="53">
        <f>ABS(SUMPRODUCT(dados!E:E,-(dados!$B:$B=$B217),-(dados!$C:$C&lt;=$C217)))</f>
        <v>1580327.2384600001</v>
      </c>
      <c r="F217" s="53">
        <f>ABS(SUMPRODUCT(dados!F:F,-(dados!$B:$B=$B217),-(dados!$C:$C&lt;=$C217)))</f>
        <v>770858.95726000005</v>
      </c>
      <c r="G217" s="53">
        <f>ABS(SUMPRODUCT(dados!G:G,-(dados!$B:$B=$B217),-(dados!$C:$C&lt;=$C217)))</f>
        <v>480974.76035000011</v>
      </c>
    </row>
    <row r="218" spans="1:7" x14ac:dyDescent="0.25">
      <c r="A218" t="str">
        <f>dados!A218</f>
        <v>201511</v>
      </c>
      <c r="B218">
        <f>dados!B218</f>
        <v>2015</v>
      </c>
      <c r="C218">
        <f>dados!C218</f>
        <v>11</v>
      </c>
      <c r="D218" s="26">
        <f>dados!D218</f>
        <v>42309</v>
      </c>
      <c r="E218" s="53">
        <f>ABS(SUMPRODUCT(dados!E:E,-(dados!$B:$B=$B218),-(dados!$C:$C&lt;=$C218)))</f>
        <v>1732699.8904500001</v>
      </c>
      <c r="F218" s="53">
        <f>ABS(SUMPRODUCT(dados!F:F,-(dados!$B:$B=$B218),-(dados!$C:$C&lt;=$C218)))</f>
        <v>846515.54821000004</v>
      </c>
      <c r="G218" s="53">
        <f>ABS(SUMPRODUCT(dados!G:G,-(dados!$B:$B=$B218),-(dados!$C:$C&lt;=$C218)))</f>
        <v>529161.59134000016</v>
      </c>
    </row>
    <row r="219" spans="1:7" x14ac:dyDescent="0.25">
      <c r="A219" t="str">
        <f>dados!A219</f>
        <v>201512</v>
      </c>
      <c r="B219">
        <f>dados!B219</f>
        <v>2015</v>
      </c>
      <c r="C219">
        <f>dados!C219</f>
        <v>12</v>
      </c>
      <c r="D219" s="26">
        <f>dados!D219</f>
        <v>42339</v>
      </c>
      <c r="E219" s="53">
        <f>ABS(SUMPRODUCT(dados!E:E,-(dados!$B:$B=$B219),-(dados!$C:$C&lt;=$C219)))</f>
        <v>2010962.2582099999</v>
      </c>
      <c r="F219" s="53">
        <f>ABS(SUMPRODUCT(dados!F:F,-(dados!$B:$B=$B219),-(dados!$C:$C&lt;=$C219)))</f>
        <v>933511.94613000005</v>
      </c>
      <c r="G219" s="53">
        <f>ABS(SUMPRODUCT(dados!G:G,-(dados!$B:$B=$B219),-(dados!$C:$C&lt;=$C219)))</f>
        <v>576743.1456200002</v>
      </c>
    </row>
    <row r="220" spans="1:7" x14ac:dyDescent="0.25">
      <c r="A220" t="str">
        <f>dados!A220</f>
        <v>20161</v>
      </c>
      <c r="B220">
        <f>dados!B220</f>
        <v>2016</v>
      </c>
      <c r="C220">
        <f>dados!C220</f>
        <v>1</v>
      </c>
      <c r="D220" s="26">
        <f>dados!D220</f>
        <v>42370</v>
      </c>
      <c r="E220" s="53">
        <f>ABS(SUMPRODUCT(dados!E:E,-(dados!$B:$B=$B220),-(dados!$C:$C&lt;=$C220)))</f>
        <v>166923.12048999994</v>
      </c>
      <c r="F220" s="53">
        <f>ABS(SUMPRODUCT(dados!F:F,-(dados!$B:$B=$B220),-(dados!$C:$C&lt;=$C220)))</f>
        <v>82894.208939999997</v>
      </c>
      <c r="G220" s="53">
        <f>ABS(SUMPRODUCT(dados!G:G,-(dados!$B:$B=$B220),-(dados!$C:$C&lt;=$C220)))</f>
        <v>64515.690619999994</v>
      </c>
    </row>
    <row r="221" spans="1:7" x14ac:dyDescent="0.25">
      <c r="A221" t="str">
        <f>dados!A221</f>
        <v>20162</v>
      </c>
      <c r="B221">
        <f>dados!B221</f>
        <v>2016</v>
      </c>
      <c r="C221">
        <f>dados!C221</f>
        <v>2</v>
      </c>
      <c r="D221" s="26">
        <f>dados!D221</f>
        <v>42401</v>
      </c>
      <c r="E221" s="53">
        <f>ABS(SUMPRODUCT(dados!E:E,-(dados!$B:$B=$B221),-(dados!$C:$C&lt;=$C221)))</f>
        <v>375886.73093999992</v>
      </c>
      <c r="F221" s="53">
        <f>ABS(SUMPRODUCT(dados!F:F,-(dados!$B:$B=$B221),-(dados!$C:$C&lt;=$C221)))</f>
        <v>187406.44198999999</v>
      </c>
      <c r="G221" s="53">
        <f>ABS(SUMPRODUCT(dados!G:G,-(dados!$B:$B=$B221),-(dados!$C:$C&lt;=$C221)))</f>
        <v>114341.36958999999</v>
      </c>
    </row>
    <row r="222" spans="1:7" x14ac:dyDescent="0.25">
      <c r="A222" t="str">
        <f>dados!A222</f>
        <v>20163</v>
      </c>
      <c r="B222">
        <f>dados!B222</f>
        <v>2016</v>
      </c>
      <c r="C222">
        <f>dados!C222</f>
        <v>3</v>
      </c>
      <c r="D222" s="26">
        <f>dados!D222</f>
        <v>42430</v>
      </c>
      <c r="E222" s="53">
        <f>ABS(SUMPRODUCT(dados!E:E,-(dados!$B:$B=$B222),-(dados!$C:$C&lt;=$C222)))</f>
        <v>502815.11708999996</v>
      </c>
      <c r="F222" s="53">
        <f>ABS(SUMPRODUCT(dados!F:F,-(dados!$B:$B=$B222),-(dados!$C:$C&lt;=$C222)))</f>
        <v>250439.2212</v>
      </c>
      <c r="G222" s="53">
        <f>ABS(SUMPRODUCT(dados!G:G,-(dados!$B:$B=$B222),-(dados!$C:$C&lt;=$C222)))</f>
        <v>162986.93462999997</v>
      </c>
    </row>
    <row r="223" spans="1:7" x14ac:dyDescent="0.25">
      <c r="A223" t="str">
        <f>dados!A223</f>
        <v>20164</v>
      </c>
      <c r="B223">
        <f>dados!B223</f>
        <v>2016</v>
      </c>
      <c r="C223">
        <f>dados!C223</f>
        <v>4</v>
      </c>
      <c r="D223" s="26">
        <f>dados!D223</f>
        <v>42461</v>
      </c>
      <c r="E223" s="53">
        <f>ABS(SUMPRODUCT(dados!E:E,-(dados!$B:$B=$B223),-(dados!$C:$C&lt;=$C223)))</f>
        <v>653705.70793999999</v>
      </c>
      <c r="F223" s="53">
        <f>ABS(SUMPRODUCT(dados!F:F,-(dados!$B:$B=$B223),-(dados!$C:$C&lt;=$C223)))</f>
        <v>325371.65857999999</v>
      </c>
      <c r="G223" s="53">
        <f>ABS(SUMPRODUCT(dados!G:G,-(dados!$B:$B=$B223),-(dados!$C:$C&lt;=$C223)))</f>
        <v>212901.39251999996</v>
      </c>
    </row>
    <row r="224" spans="1:7" x14ac:dyDescent="0.25">
      <c r="A224" t="str">
        <f>dados!A224</f>
        <v>20165</v>
      </c>
      <c r="B224">
        <f>dados!B224</f>
        <v>2016</v>
      </c>
      <c r="C224">
        <f>dados!C224</f>
        <v>5</v>
      </c>
      <c r="D224" s="26">
        <f>dados!D224</f>
        <v>42491</v>
      </c>
      <c r="E224" s="53">
        <f>ABS(SUMPRODUCT(dados!E:E,-(dados!$B:$B=$B224),-(dados!$C:$C&lt;=$C224)))</f>
        <v>854353.77142999985</v>
      </c>
      <c r="F224" s="53">
        <f>ABS(SUMPRODUCT(dados!F:F,-(dados!$B:$B=$B224),-(dados!$C:$C&lt;=$C224)))</f>
        <v>425059.97927999997</v>
      </c>
      <c r="G224" s="53">
        <f>ABS(SUMPRODUCT(dados!G:G,-(dados!$B:$B=$B224),-(dados!$C:$C&lt;=$C224)))</f>
        <v>269583.27671999997</v>
      </c>
    </row>
    <row r="225" spans="1:7" x14ac:dyDescent="0.25">
      <c r="A225" t="str">
        <f>dados!A225</f>
        <v>20166</v>
      </c>
      <c r="B225">
        <f>dados!B225</f>
        <v>2016</v>
      </c>
      <c r="C225">
        <f>dados!C225</f>
        <v>6</v>
      </c>
      <c r="D225" s="26">
        <f>dados!D225</f>
        <v>42522</v>
      </c>
      <c r="E225" s="53">
        <f>ABS(SUMPRODUCT(dados!E:E,-(dados!$B:$B=$B225),-(dados!$C:$C&lt;=$C225)))</f>
        <v>1020121.5783999999</v>
      </c>
      <c r="F225" s="53">
        <f>ABS(SUMPRODUCT(dados!F:F,-(dados!$B:$B=$B225),-(dados!$C:$C&lt;=$C225)))</f>
        <v>507380.45903999999</v>
      </c>
      <c r="G225" s="53">
        <f>ABS(SUMPRODUCT(dados!G:G,-(dados!$B:$B=$B225),-(dados!$C:$C&lt;=$C225)))</f>
        <v>303311.57173999998</v>
      </c>
    </row>
    <row r="226" spans="1:7" x14ac:dyDescent="0.25">
      <c r="A226" t="str">
        <f>dados!A226</f>
        <v>20167</v>
      </c>
      <c r="B226">
        <f>dados!B226</f>
        <v>2016</v>
      </c>
      <c r="C226">
        <f>dados!C226</f>
        <v>7</v>
      </c>
      <c r="D226" s="26">
        <f>dados!D226</f>
        <v>42552</v>
      </c>
      <c r="E226" s="53">
        <f>ABS(SUMPRODUCT(dados!E:E,-(dados!$B:$B=$B226),-(dados!$C:$C&lt;=$C226)))</f>
        <v>1219843.7850999997</v>
      </c>
      <c r="F226" s="53">
        <f>ABS(SUMPRODUCT(dados!F:F,-(dados!$B:$B=$B226),-(dados!$C:$C&lt;=$C226)))</f>
        <v>567063.77252999996</v>
      </c>
      <c r="G226" s="53">
        <f>ABS(SUMPRODUCT(dados!G:G,-(dados!$B:$B=$B226),-(dados!$C:$C&lt;=$C226)))</f>
        <v>349138.94821</v>
      </c>
    </row>
    <row r="227" spans="1:7" x14ac:dyDescent="0.25">
      <c r="A227" t="str">
        <f>dados!A227</f>
        <v>20168</v>
      </c>
      <c r="B227">
        <f>dados!B227</f>
        <v>2016</v>
      </c>
      <c r="C227">
        <f>dados!C227</f>
        <v>8</v>
      </c>
      <c r="D227" s="26">
        <f>dados!D227</f>
        <v>42583</v>
      </c>
      <c r="E227" s="53">
        <f>ABS(SUMPRODUCT(dados!E:E,-(dados!$B:$B=$B227),-(dados!$C:$C&lt;=$C227)))</f>
        <v>1368888.1140399999</v>
      </c>
      <c r="F227" s="53">
        <f>ABS(SUMPRODUCT(dados!F:F,-(dados!$B:$B=$B227),-(dados!$C:$C&lt;=$C227)))</f>
        <v>641079.35407</v>
      </c>
      <c r="G227" s="53">
        <f>ABS(SUMPRODUCT(dados!G:G,-(dados!$B:$B=$B227),-(dados!$C:$C&lt;=$C227)))</f>
        <v>395447.07783000002</v>
      </c>
    </row>
    <row r="228" spans="1:7" x14ac:dyDescent="0.25">
      <c r="A228" t="str">
        <f>dados!A228</f>
        <v>20169</v>
      </c>
      <c r="B228">
        <f>dados!B228</f>
        <v>2016</v>
      </c>
      <c r="C228">
        <f>dados!C228</f>
        <v>9</v>
      </c>
      <c r="D228" s="26">
        <f>dados!D228</f>
        <v>42614</v>
      </c>
      <c r="E228" s="53">
        <f>ABS(SUMPRODUCT(dados!E:E,-(dados!$B:$B=$B228),-(dados!$C:$C&lt;=$C228)))</f>
        <v>1490090.93175</v>
      </c>
      <c r="F228" s="53">
        <f>ABS(SUMPRODUCT(dados!F:F,-(dados!$B:$B=$B228),-(dados!$C:$C&lt;=$C228)))</f>
        <v>701268.80920000002</v>
      </c>
      <c r="G228" s="53">
        <f>ABS(SUMPRODUCT(dados!G:G,-(dados!$B:$B=$B228),-(dados!$C:$C&lt;=$C228)))</f>
        <v>446157.25582000002</v>
      </c>
    </row>
    <row r="229" spans="1:7" x14ac:dyDescent="0.25">
      <c r="A229" t="str">
        <f>dados!A229</f>
        <v>201610</v>
      </c>
      <c r="B229">
        <f>dados!B229</f>
        <v>2016</v>
      </c>
      <c r="C229">
        <f>dados!C229</f>
        <v>10</v>
      </c>
      <c r="D229" s="26">
        <f>dados!D229</f>
        <v>42644</v>
      </c>
      <c r="E229" s="53">
        <f>ABS(SUMPRODUCT(dados!E:E,-(dados!$B:$B=$B229),-(dados!$C:$C&lt;=$C229)))</f>
        <v>1637218.42585</v>
      </c>
      <c r="F229" s="53">
        <f>ABS(SUMPRODUCT(dados!F:F,-(dados!$B:$B=$B229),-(dados!$C:$C&lt;=$C229)))</f>
        <v>779220.73239999998</v>
      </c>
      <c r="G229" s="53">
        <f>ABS(SUMPRODUCT(dados!G:G,-(dados!$B:$B=$B229),-(dados!$C:$C&lt;=$C229)))</f>
        <v>499755.26978000003</v>
      </c>
    </row>
    <row r="230" spans="1:7" x14ac:dyDescent="0.25">
      <c r="A230" t="str">
        <f>dados!A230</f>
        <v>201611</v>
      </c>
      <c r="B230">
        <f>dados!B230</f>
        <v>2016</v>
      </c>
      <c r="C230">
        <f>dados!C230</f>
        <v>11</v>
      </c>
      <c r="D230" s="26">
        <f>dados!D230</f>
        <v>42675</v>
      </c>
      <c r="E230" s="53">
        <f>ABS(SUMPRODUCT(dados!E:E,-(dados!$B:$B=$B230),-(dados!$C:$C&lt;=$C230)))</f>
        <v>1905650.4649499999</v>
      </c>
      <c r="F230" s="53">
        <f>ABS(SUMPRODUCT(dados!F:F,-(dados!$B:$B=$B230),-(dados!$C:$C&lt;=$C230)))</f>
        <v>962018.16599999997</v>
      </c>
      <c r="G230" s="53">
        <f>ABS(SUMPRODUCT(dados!G:G,-(dados!$B:$B=$B230),-(dados!$C:$C&lt;=$C230)))</f>
        <v>555769.39598999999</v>
      </c>
    </row>
    <row r="231" spans="1:7" x14ac:dyDescent="0.25">
      <c r="A231" t="str">
        <f>dados!A231</f>
        <v>201612</v>
      </c>
      <c r="B231">
        <f>dados!B231</f>
        <v>2016</v>
      </c>
      <c r="C231">
        <f>dados!C231</f>
        <v>12</v>
      </c>
      <c r="D231" s="26">
        <f>dados!D231</f>
        <v>42705</v>
      </c>
      <c r="E231" s="53">
        <f>ABS(SUMPRODUCT(dados!E:E,-(dados!$B:$B=$B231),-(dados!$C:$C&lt;=$C231)))</f>
        <v>2349045.8280400001</v>
      </c>
      <c r="F231" s="53">
        <f>ABS(SUMPRODUCT(dados!F:F,-(dados!$B:$B=$B231),-(dados!$C:$C&lt;=$C231)))</f>
        <v>1189321.21049</v>
      </c>
      <c r="G231" s="53">
        <f>ABS(SUMPRODUCT(dados!G:G,-(dados!$B:$B=$B231),-(dados!$C:$C&lt;=$C231)))</f>
        <v>615363.05678999994</v>
      </c>
    </row>
    <row r="232" spans="1:7" x14ac:dyDescent="0.25">
      <c r="A232" t="str">
        <f>dados!A232</f>
        <v>20171</v>
      </c>
      <c r="B232">
        <f>dados!B232</f>
        <v>2017</v>
      </c>
      <c r="C232">
        <f>dados!C232</f>
        <v>1</v>
      </c>
      <c r="D232" s="26">
        <f>dados!D232</f>
        <v>42736</v>
      </c>
      <c r="E232" s="53">
        <f>ABS(SUMPRODUCT(dados!E:E,-(dados!$B:$B=$B232),-(dados!$C:$C&lt;=$C232)))</f>
        <v>179466.78994999992</v>
      </c>
      <c r="F232" s="53">
        <f>ABS(SUMPRODUCT(dados!F:F,-(dados!$B:$B=$B232),-(dados!$C:$C&lt;=$C232)))</f>
        <v>88962.97855</v>
      </c>
      <c r="G232" s="53">
        <f>ABS(SUMPRODUCT(dados!G:G,-(dados!$B:$B=$B232),-(dados!$C:$C&lt;=$C232)))</f>
        <v>42428.13579</v>
      </c>
    </row>
    <row r="233" spans="1:7" x14ac:dyDescent="0.25">
      <c r="A233" t="str">
        <f>dados!A233</f>
        <v>20172</v>
      </c>
      <c r="B233">
        <f>dados!B233</f>
        <v>2017</v>
      </c>
      <c r="C233">
        <f>dados!C233</f>
        <v>2</v>
      </c>
      <c r="D233" s="26">
        <f>dados!D233</f>
        <v>42767</v>
      </c>
      <c r="E233" s="53">
        <f>ABS(SUMPRODUCT(dados!E:E,-(dados!$B:$B=$B233),-(dados!$C:$C&lt;=$C233)))</f>
        <v>409538.38518999983</v>
      </c>
      <c r="F233" s="53">
        <f>ABS(SUMPRODUCT(dados!F:F,-(dados!$B:$B=$B233),-(dados!$C:$C&lt;=$C233)))</f>
        <v>206376.49618000002</v>
      </c>
      <c r="G233" s="53">
        <f>ABS(SUMPRODUCT(dados!G:G,-(dados!$B:$B=$B233),-(dados!$C:$C&lt;=$C233)))</f>
        <v>89082.145400000009</v>
      </c>
    </row>
    <row r="234" spans="1:7" x14ac:dyDescent="0.25">
      <c r="A234" t="str">
        <f>dados!A234</f>
        <v>20173</v>
      </c>
      <c r="B234">
        <f>dados!B234</f>
        <v>2017</v>
      </c>
      <c r="C234">
        <f>dados!C234</f>
        <v>3</v>
      </c>
      <c r="D234" s="26">
        <f>dados!D234</f>
        <v>42795</v>
      </c>
      <c r="E234" s="53">
        <f>ABS(SUMPRODUCT(dados!E:E,-(dados!$B:$B=$B234),-(dados!$C:$C&lt;=$C234)))</f>
        <v>553692.33673999982</v>
      </c>
      <c r="F234" s="53">
        <f>ABS(SUMPRODUCT(dados!F:F,-(dados!$B:$B=$B234),-(dados!$C:$C&lt;=$C234)))</f>
        <v>277843.10636000003</v>
      </c>
      <c r="G234" s="53">
        <f>ABS(SUMPRODUCT(dados!G:G,-(dados!$B:$B=$B234),-(dados!$C:$C&lt;=$C234)))</f>
        <v>125743.98641000001</v>
      </c>
    </row>
    <row r="235" spans="1:7" x14ac:dyDescent="0.25">
      <c r="A235" t="str">
        <f>dados!A235</f>
        <v>20174</v>
      </c>
      <c r="B235">
        <f>dados!B235</f>
        <v>2017</v>
      </c>
      <c r="C235">
        <f>dados!C235</f>
        <v>4</v>
      </c>
      <c r="D235" s="26">
        <f>dados!D235</f>
        <v>42826</v>
      </c>
      <c r="E235" s="53">
        <f>ABS(SUMPRODUCT(dados!E:E,-(dados!$B:$B=$B235),-(dados!$C:$C&lt;=$C235)))</f>
        <v>727373.34006999969</v>
      </c>
      <c r="F235" s="53">
        <f>ABS(SUMPRODUCT(dados!F:F,-(dados!$B:$B=$B235),-(dados!$C:$C&lt;=$C235)))</f>
        <v>368539.58687000006</v>
      </c>
      <c r="G235" s="53">
        <f>ABS(SUMPRODUCT(dados!G:G,-(dados!$B:$B=$B235),-(dados!$C:$C&lt;=$C235)))</f>
        <v>170013.26902000001</v>
      </c>
    </row>
    <row r="236" spans="1:7" x14ac:dyDescent="0.25">
      <c r="A236" t="str">
        <f>dados!A236</f>
        <v>20175</v>
      </c>
      <c r="B236">
        <f>dados!B236</f>
        <v>2017</v>
      </c>
      <c r="C236">
        <f>dados!C236</f>
        <v>5</v>
      </c>
      <c r="D236" s="26">
        <f>dados!D236</f>
        <v>42856</v>
      </c>
      <c r="E236" s="53">
        <f>ABS(SUMPRODUCT(dados!E:E,-(dados!$B:$B=$B236),-(dados!$C:$C&lt;=$C236)))</f>
        <v>924384.46105999965</v>
      </c>
      <c r="F236" s="53">
        <f>ABS(SUMPRODUCT(dados!F:F,-(dados!$B:$B=$B236),-(dados!$C:$C&lt;=$C236)))</f>
        <v>467531.24895000004</v>
      </c>
      <c r="G236" s="53">
        <f>ABS(SUMPRODUCT(dados!G:G,-(dados!$B:$B=$B236),-(dados!$C:$C&lt;=$C236)))</f>
        <v>211550.22727999999</v>
      </c>
    </row>
    <row r="237" spans="1:7" x14ac:dyDescent="0.25">
      <c r="A237" t="str">
        <f>dados!A237</f>
        <v>20176</v>
      </c>
      <c r="B237">
        <f>dados!B237</f>
        <v>2017</v>
      </c>
      <c r="C237">
        <f>dados!C237</f>
        <v>6</v>
      </c>
      <c r="D237" s="26">
        <f>dados!D237</f>
        <v>42887</v>
      </c>
      <c r="E237" s="53">
        <f>ABS(SUMPRODUCT(dados!E:E,-(dados!$B:$B=$B237),-(dados!$C:$C&lt;=$C237)))</f>
        <v>1105972.7091699995</v>
      </c>
      <c r="F237" s="53">
        <f>ABS(SUMPRODUCT(dados!F:F,-(dados!$B:$B=$B237),-(dados!$C:$C&lt;=$C237)))</f>
        <v>559676.18553000002</v>
      </c>
      <c r="G237" s="53">
        <f>ABS(SUMPRODUCT(dados!G:G,-(dados!$B:$B=$B237),-(dados!$C:$C&lt;=$C237)))</f>
        <v>253313.00039</v>
      </c>
    </row>
    <row r="238" spans="1:7" x14ac:dyDescent="0.25">
      <c r="A238" t="str">
        <f>dados!A238</f>
        <v>20177</v>
      </c>
      <c r="B238">
        <f>dados!B238</f>
        <v>2017</v>
      </c>
      <c r="C238">
        <f>dados!C238</f>
        <v>7</v>
      </c>
      <c r="D238" s="26">
        <f>dados!D238</f>
        <v>42917</v>
      </c>
      <c r="E238" s="53">
        <f>ABS(SUMPRODUCT(dados!E:E,-(dados!$B:$B=$B238),-(dados!$C:$C&lt;=$C238)))</f>
        <v>1363984.4203599994</v>
      </c>
      <c r="F238" s="53">
        <f>ABS(SUMPRODUCT(dados!F:F,-(dados!$B:$B=$B238),-(dados!$C:$C&lt;=$C238)))</f>
        <v>634730.97618</v>
      </c>
      <c r="G238" s="53">
        <f>ABS(SUMPRODUCT(dados!G:G,-(dados!$B:$B=$B238),-(dados!$C:$C&lt;=$C238)))</f>
        <v>300228.33951999998</v>
      </c>
    </row>
    <row r="239" spans="1:7" x14ac:dyDescent="0.25">
      <c r="A239" t="str">
        <f>dados!A239</f>
        <v>20178</v>
      </c>
      <c r="B239">
        <f>dados!B239</f>
        <v>2017</v>
      </c>
      <c r="C239">
        <f>dados!C239</f>
        <v>8</v>
      </c>
      <c r="D239" s="26">
        <f>dados!D239</f>
        <v>42948</v>
      </c>
      <c r="E239" s="53">
        <f>ABS(SUMPRODUCT(dados!E:E,-(dados!$B:$B=$B239),-(dados!$C:$C&lt;=$C239)))</f>
        <v>1523039.0927699993</v>
      </c>
      <c r="F239" s="53">
        <f>ABS(SUMPRODUCT(dados!F:F,-(dados!$B:$B=$B239),-(dados!$C:$C&lt;=$C239)))</f>
        <v>716777.57926999999</v>
      </c>
      <c r="G239" s="53">
        <f>ABS(SUMPRODUCT(dados!G:G,-(dados!$B:$B=$B239),-(dados!$C:$C&lt;=$C239)))</f>
        <v>344130.12758999999</v>
      </c>
    </row>
    <row r="240" spans="1:7" x14ac:dyDescent="0.25">
      <c r="A240" t="str">
        <f>dados!A240</f>
        <v>20179</v>
      </c>
      <c r="B240">
        <f>dados!B240</f>
        <v>2017</v>
      </c>
      <c r="C240">
        <f>dados!C240</f>
        <v>9</v>
      </c>
      <c r="D240" s="26">
        <f>dados!D240</f>
        <v>42979</v>
      </c>
      <c r="E240" s="53">
        <f>ABS(SUMPRODUCT(dados!E:E,-(dados!$B:$B=$B240),-(dados!$C:$C&lt;=$C240)))</f>
        <v>1656591.4466699993</v>
      </c>
      <c r="F240" s="53">
        <f>ABS(SUMPRODUCT(dados!F:F,-(dados!$B:$B=$B240),-(dados!$C:$C&lt;=$C240)))</f>
        <v>786410.19809999992</v>
      </c>
      <c r="G240" s="53">
        <f>ABS(SUMPRODUCT(dados!G:G,-(dados!$B:$B=$B240),-(dados!$C:$C&lt;=$C240)))</f>
        <v>391022.38971000002</v>
      </c>
    </row>
    <row r="241" spans="1:7" x14ac:dyDescent="0.25">
      <c r="A241" t="str">
        <f>dados!A241</f>
        <v>201710</v>
      </c>
      <c r="B241">
        <f>dados!B241</f>
        <v>2017</v>
      </c>
      <c r="C241">
        <f>dados!C241</f>
        <v>10</v>
      </c>
      <c r="D241" s="26">
        <f>dados!D241</f>
        <v>43009</v>
      </c>
      <c r="E241" s="53">
        <f>ABS(SUMPRODUCT(dados!E:E,-(dados!$B:$B=$B241),-(dados!$C:$C&lt;=$C241)))</f>
        <v>1807944.3824399994</v>
      </c>
      <c r="F241" s="53">
        <f>ABS(SUMPRODUCT(dados!F:F,-(dados!$B:$B=$B241),-(dados!$C:$C&lt;=$C241)))</f>
        <v>869870.8102999999</v>
      </c>
      <c r="G241" s="53">
        <f>ABS(SUMPRODUCT(dados!G:G,-(dados!$B:$B=$B241),-(dados!$C:$C&lt;=$C241)))</f>
        <v>450201.53003999998</v>
      </c>
    </row>
    <row r="242" spans="1:7" x14ac:dyDescent="0.25">
      <c r="A242" t="str">
        <f>dados!A242</f>
        <v>201711</v>
      </c>
      <c r="B242">
        <f>dados!B242</f>
        <v>2017</v>
      </c>
      <c r="C242">
        <f>dados!C242</f>
        <v>11</v>
      </c>
      <c r="D242" s="26">
        <f>dados!D242</f>
        <v>43040</v>
      </c>
      <c r="E242" s="53">
        <f>ABS(SUMPRODUCT(dados!E:E,-(dados!$B:$B=$B242),-(dados!$C:$C&lt;=$C242)))</f>
        <v>1963621.4746999992</v>
      </c>
      <c r="F242" s="53">
        <f>ABS(SUMPRODUCT(dados!F:F,-(dados!$B:$B=$B242),-(dados!$C:$C&lt;=$C242)))</f>
        <v>947739.60089999984</v>
      </c>
      <c r="G242" s="53">
        <f>ABS(SUMPRODUCT(dados!G:G,-(dados!$B:$B=$B242),-(dados!$C:$C&lt;=$C242)))</f>
        <v>498524.64171999996</v>
      </c>
    </row>
    <row r="243" spans="1:7" x14ac:dyDescent="0.25">
      <c r="A243" t="str">
        <f>dados!A243</f>
        <v>201712</v>
      </c>
      <c r="B243">
        <f>dados!B243</f>
        <v>2017</v>
      </c>
      <c r="C243">
        <f>dados!C243</f>
        <v>12</v>
      </c>
      <c r="D243" s="26">
        <f>dados!D243</f>
        <v>43070</v>
      </c>
      <c r="E243" s="53">
        <f>ABS(SUMPRODUCT(dados!E:E,-(dados!$B:$B=$B243),-(dados!$C:$C&lt;=$C243)))</f>
        <v>2285981.8222399992</v>
      </c>
      <c r="F243" s="53">
        <f>ABS(SUMPRODUCT(dados!F:F,-(dados!$B:$B=$B243),-(dados!$C:$C&lt;=$C243)))</f>
        <v>1059785.8738999998</v>
      </c>
      <c r="G243" s="53">
        <f>ABS(SUMPRODUCT(dados!G:G,-(dados!$B:$B=$B243),-(dados!$C:$C&lt;=$C243)))</f>
        <v>565196.50148999994</v>
      </c>
    </row>
    <row r="244" spans="1:7" x14ac:dyDescent="0.25">
      <c r="A244" t="str">
        <f>dados!A244</f>
        <v>20181</v>
      </c>
      <c r="B244">
        <f>dados!B244</f>
        <v>2018</v>
      </c>
      <c r="C244">
        <f>dados!C244</f>
        <v>1</v>
      </c>
      <c r="D244" s="26">
        <f>dados!D244</f>
        <v>43101</v>
      </c>
      <c r="E244" s="53">
        <f>ABS(SUMPRODUCT(dados!E:E,-(dados!$B:$B=$B244),-(dados!$C:$C&lt;=$C244)))</f>
        <v>190351.02453</v>
      </c>
      <c r="F244" s="53">
        <f>ABS(SUMPRODUCT(dados!F:F,-(dados!$B:$B=$B244),-(dados!$C:$C&lt;=$C244)))</f>
        <v>94354.531419999999</v>
      </c>
      <c r="G244" s="53">
        <f>ABS(SUMPRODUCT(dados!G:G,-(dados!$B:$B=$B244),-(dados!$C:$C&lt;=$C244)))</f>
        <v>70246.451860000001</v>
      </c>
    </row>
    <row r="245" spans="1:7" x14ac:dyDescent="0.25">
      <c r="A245" t="str">
        <f>dados!A245</f>
        <v>20182</v>
      </c>
      <c r="B245">
        <f>dados!B245</f>
        <v>2018</v>
      </c>
      <c r="C245">
        <f>dados!C245</f>
        <v>2</v>
      </c>
      <c r="D245" s="26">
        <f>dados!D245</f>
        <v>43132</v>
      </c>
      <c r="E245" s="53">
        <f>ABS(SUMPRODUCT(dados!E:E,-(dados!$B:$B=$B245),-(dados!$C:$C&lt;=$C245)))</f>
        <v>439199.34482999996</v>
      </c>
      <c r="F245" s="53">
        <f>ABS(SUMPRODUCT(dados!F:F,-(dados!$B:$B=$B245),-(dados!$C:$C&lt;=$C245)))</f>
        <v>226587.13773999998</v>
      </c>
      <c r="G245" s="53">
        <f>ABS(SUMPRODUCT(dados!G:G,-(dados!$B:$B=$B245),-(dados!$C:$C&lt;=$C245)))</f>
        <v>141908.41323999999</v>
      </c>
    </row>
    <row r="246" spans="1:7" x14ac:dyDescent="0.25">
      <c r="A246" t="str">
        <f>dados!A246</f>
        <v>20183</v>
      </c>
      <c r="B246">
        <f>dados!B246</f>
        <v>2018</v>
      </c>
      <c r="C246">
        <f>dados!C246</f>
        <v>3</v>
      </c>
      <c r="D246" s="26">
        <f>dados!D246</f>
        <v>43160</v>
      </c>
      <c r="E246" s="53">
        <f>ABS(SUMPRODUCT(dados!E:E,-(dados!$B:$B=$B246),-(dados!$C:$C&lt;=$C246)))</f>
        <v>606771.55275999999</v>
      </c>
      <c r="F246" s="53">
        <f>ABS(SUMPRODUCT(dados!F:F,-(dados!$B:$B=$B246),-(dados!$C:$C&lt;=$C246)))</f>
        <v>311745.67894999997</v>
      </c>
      <c r="G246" s="53">
        <f>ABS(SUMPRODUCT(dados!G:G,-(dados!$B:$B=$B246),-(dados!$C:$C&lt;=$C246)))</f>
        <v>201677.91199999998</v>
      </c>
    </row>
    <row r="247" spans="1:7" x14ac:dyDescent="0.25">
      <c r="A247" t="str">
        <f>dados!A247</f>
        <v>20184</v>
      </c>
      <c r="B247">
        <f>dados!B247</f>
        <v>2018</v>
      </c>
      <c r="C247">
        <f>dados!C247</f>
        <v>4</v>
      </c>
      <c r="D247" s="26">
        <f>dados!D247</f>
        <v>43191</v>
      </c>
      <c r="E247" s="53">
        <f>ABS(SUMPRODUCT(dados!E:E,-(dados!$B:$B=$B247),-(dados!$C:$C&lt;=$C247)))</f>
        <v>782465.55350000015</v>
      </c>
      <c r="F247" s="53">
        <f>ABS(SUMPRODUCT(dados!F:F,-(dados!$B:$B=$B247),-(dados!$C:$C&lt;=$C247)))</f>
        <v>402045.55219999998</v>
      </c>
      <c r="G247" s="53">
        <f>ABS(SUMPRODUCT(dados!G:G,-(dados!$B:$B=$B247),-(dados!$C:$C&lt;=$C247)))</f>
        <v>265489.65232999995</v>
      </c>
    </row>
    <row r="248" spans="1:7" x14ac:dyDescent="0.25">
      <c r="A248" t="str">
        <f>dados!A248</f>
        <v>20185</v>
      </c>
      <c r="B248">
        <f>dados!B248</f>
        <v>2018</v>
      </c>
      <c r="C248">
        <f>dados!C248</f>
        <v>5</v>
      </c>
      <c r="D248" s="26">
        <f>dados!D248</f>
        <v>43221</v>
      </c>
      <c r="E248" s="53">
        <f>ABS(SUMPRODUCT(dados!E:E,-(dados!$B:$B=$B248),-(dados!$C:$C&lt;=$C248)))</f>
        <v>998084.77558999998</v>
      </c>
      <c r="F248" s="53">
        <f>ABS(SUMPRODUCT(dados!F:F,-(dados!$B:$B=$B248),-(dados!$C:$C&lt;=$C248)))</f>
        <v>512681.87813999999</v>
      </c>
      <c r="G248" s="53">
        <f>ABS(SUMPRODUCT(dados!G:G,-(dados!$B:$B=$B248),-(dados!$C:$C&lt;=$C248)))</f>
        <v>330524.20066999993</v>
      </c>
    </row>
    <row r="249" spans="1:7" x14ac:dyDescent="0.25">
      <c r="A249" t="str">
        <f>dados!A249</f>
        <v>20186</v>
      </c>
      <c r="B249">
        <f>dados!B249</f>
        <v>2018</v>
      </c>
      <c r="C249">
        <f>dados!C249</f>
        <v>6</v>
      </c>
      <c r="D249" s="26">
        <f>dados!D249</f>
        <v>43252</v>
      </c>
      <c r="E249" s="53">
        <f>ABS(SUMPRODUCT(dados!E:E,-(dados!$B:$B=$B249),-(dados!$C:$C&lt;=$C249)))</f>
        <v>1200001.9234799999</v>
      </c>
      <c r="F249" s="53">
        <f>ABS(SUMPRODUCT(dados!F:F,-(dados!$B:$B=$B249),-(dados!$C:$C&lt;=$C249)))</f>
        <v>621725.96773000003</v>
      </c>
      <c r="G249" s="53">
        <f>ABS(SUMPRODUCT(dados!G:G,-(dados!$B:$B=$B249),-(dados!$C:$C&lt;=$C249)))</f>
        <v>401940.8693299999</v>
      </c>
    </row>
    <row r="250" spans="1:7" x14ac:dyDescent="0.25">
      <c r="A250" t="str">
        <f>dados!A250</f>
        <v>20187</v>
      </c>
      <c r="B250">
        <f>dados!B250</f>
        <v>2018</v>
      </c>
      <c r="C250">
        <f>dados!C250</f>
        <v>7</v>
      </c>
      <c r="D250" s="26">
        <f>dados!D250</f>
        <v>43282</v>
      </c>
      <c r="E250" s="53">
        <f>ABS(SUMPRODUCT(dados!E:E,-(dados!$B:$B=$B250),-(dados!$C:$C&lt;=$C250)))</f>
        <v>1456467.5264599998</v>
      </c>
      <c r="F250" s="53">
        <f>ABS(SUMPRODUCT(dados!F:F,-(dados!$B:$B=$B250),-(dados!$C:$C&lt;=$C250)))</f>
        <v>692466.41384000005</v>
      </c>
      <c r="G250" s="53">
        <f>ABS(SUMPRODUCT(dados!G:G,-(dados!$B:$B=$B250),-(dados!$C:$C&lt;=$C250)))</f>
        <v>462040.36041999992</v>
      </c>
    </row>
    <row r="251" spans="1:7" x14ac:dyDescent="0.25">
      <c r="A251" t="str">
        <f>dados!A251</f>
        <v>20188</v>
      </c>
      <c r="B251">
        <f>dados!B251</f>
        <v>2018</v>
      </c>
      <c r="C251">
        <f>dados!C251</f>
        <v>8</v>
      </c>
      <c r="D251" s="26">
        <f>dados!D251</f>
        <v>43313</v>
      </c>
      <c r="E251" s="53">
        <f>ABS(SUMPRODUCT(dados!E:E,-(dados!$B:$B=$B251),-(dados!$C:$C&lt;=$C251)))</f>
        <v>1629473.9144299999</v>
      </c>
      <c r="F251" s="53">
        <f>ABS(SUMPRODUCT(dados!F:F,-(dados!$B:$B=$B251),-(dados!$C:$C&lt;=$C251)))</f>
        <v>782488.15872000006</v>
      </c>
      <c r="G251" s="53">
        <f>ABS(SUMPRODUCT(dados!G:G,-(dados!$B:$B=$B251),-(dados!$C:$C&lt;=$C251)))</f>
        <v>527039.03280999989</v>
      </c>
    </row>
    <row r="252" spans="1:7" x14ac:dyDescent="0.25">
      <c r="A252" t="str">
        <f>dados!A252</f>
        <v>20189</v>
      </c>
      <c r="B252">
        <f>dados!B252</f>
        <v>2018</v>
      </c>
      <c r="C252">
        <f>dados!C252</f>
        <v>9</v>
      </c>
      <c r="D252" s="26">
        <f>dados!D252</f>
        <v>43344</v>
      </c>
      <c r="E252" s="53">
        <f>ABS(SUMPRODUCT(dados!E:E,-(dados!$B:$B=$B252),-(dados!$C:$C&lt;=$C252)))</f>
        <v>1759955.4641199999</v>
      </c>
      <c r="F252" s="53">
        <f>ABS(SUMPRODUCT(dados!F:F,-(dados!$B:$B=$B252),-(dados!$C:$C&lt;=$C252)))</f>
        <v>849818.15866000007</v>
      </c>
      <c r="G252" s="53">
        <f>ABS(SUMPRODUCT(dados!G:G,-(dados!$B:$B=$B252),-(dados!$C:$C&lt;=$C252)))</f>
        <v>592028.4625599999</v>
      </c>
    </row>
    <row r="253" spans="1:7" x14ac:dyDescent="0.25">
      <c r="A253" t="str">
        <f>dados!A253</f>
        <v>201810</v>
      </c>
      <c r="B253">
        <f>dados!B253</f>
        <v>2018</v>
      </c>
      <c r="C253">
        <f>dados!C253</f>
        <v>10</v>
      </c>
      <c r="D253" s="26">
        <f>dados!D253</f>
        <v>43374</v>
      </c>
      <c r="E253" s="53">
        <f>ABS(SUMPRODUCT(dados!E:E,-(dados!$B:$B=$B253),-(dados!$C:$C&lt;=$C253)))</f>
        <v>1908181.65836</v>
      </c>
      <c r="F253" s="53">
        <f>ABS(SUMPRODUCT(dados!F:F,-(dados!$B:$B=$B253),-(dados!$C:$C&lt;=$C253)))</f>
        <v>924438.58191000007</v>
      </c>
      <c r="G253" s="53">
        <f>ABS(SUMPRODUCT(dados!G:G,-(dados!$B:$B=$B253),-(dados!$C:$C&lt;=$C253)))</f>
        <v>657992.20243999991</v>
      </c>
    </row>
    <row r="254" spans="1:7" x14ac:dyDescent="0.25">
      <c r="A254" t="str">
        <f>dados!A254</f>
        <v>201811</v>
      </c>
      <c r="B254">
        <f>dados!B254</f>
        <v>2018</v>
      </c>
      <c r="C254">
        <f>dados!C254</f>
        <v>11</v>
      </c>
      <c r="D254" s="26">
        <f>dados!D254</f>
        <v>43405</v>
      </c>
      <c r="E254" s="53">
        <f>ABS(SUMPRODUCT(dados!E:E,-(dados!$B:$B=$B254),-(dados!$C:$C&lt;=$C254)))</f>
        <v>2094371.3877299998</v>
      </c>
      <c r="F254" s="53">
        <f>ABS(SUMPRODUCT(dados!F:F,-(dados!$B:$B=$B254),-(dados!$C:$C&lt;=$C254)))</f>
        <v>1022214.2892600001</v>
      </c>
      <c r="G254" s="53">
        <f>ABS(SUMPRODUCT(dados!G:G,-(dados!$B:$B=$B254),-(dados!$C:$C&lt;=$C254)))</f>
        <v>721321.30854999996</v>
      </c>
    </row>
    <row r="255" spans="1:7" x14ac:dyDescent="0.25">
      <c r="A255" t="str">
        <f>dados!A255</f>
        <v>201812</v>
      </c>
      <c r="B255">
        <f>dados!B255</f>
        <v>2018</v>
      </c>
      <c r="C255">
        <f>dados!C255</f>
        <v>12</v>
      </c>
      <c r="D255" s="26">
        <f>dados!D255</f>
        <v>43435</v>
      </c>
      <c r="E255" s="53">
        <f>ABS(SUMPRODUCT(dados!E:E,-(dados!$B:$B=$B255),-(dados!$C:$C&lt;=$C255)))</f>
        <v>2444665.9673899999</v>
      </c>
      <c r="F255" s="53">
        <f>ABS(SUMPRODUCT(dados!F:F,-(dados!$B:$B=$B255),-(dados!$C:$C&lt;=$C255)))</f>
        <v>1153817.17344</v>
      </c>
      <c r="G255" s="53">
        <f>ABS(SUMPRODUCT(dados!G:G,-(dados!$B:$B=$B255),-(dados!$C:$C&lt;=$C255)))</f>
        <v>797630.62144999998</v>
      </c>
    </row>
    <row r="256" spans="1:7" x14ac:dyDescent="0.25">
      <c r="A256" t="str">
        <f>dados!A256</f>
        <v>20191</v>
      </c>
      <c r="B256">
        <f>dados!B256</f>
        <v>2019</v>
      </c>
      <c r="C256">
        <f>dados!C256</f>
        <v>1</v>
      </c>
      <c r="D256" s="26">
        <f>dados!D256</f>
        <v>43466</v>
      </c>
      <c r="E256" s="53">
        <f>ABS(SUMPRODUCT(dados!E:E,-(dados!$B:$B=$B256),-(dados!$C:$C&lt;=$C256)))</f>
        <v>238017.03729999994</v>
      </c>
      <c r="F256" s="53">
        <f>ABS(SUMPRODUCT(dados!F:F,-(dados!$B:$B=$B256),-(dados!$C:$C&lt;=$C256)))</f>
        <v>122602.41545</v>
      </c>
      <c r="G256" s="53">
        <f>ABS(SUMPRODUCT(dados!G:G,-(dados!$B:$B=$B256),-(dados!$C:$C&lt;=$C256)))</f>
        <v>58568.522299999997</v>
      </c>
    </row>
    <row r="257" spans="1:7" x14ac:dyDescent="0.25">
      <c r="A257" t="str">
        <f>dados!A257</f>
        <v>20192</v>
      </c>
      <c r="B257">
        <f>dados!B257</f>
        <v>2019</v>
      </c>
      <c r="C257">
        <f>dados!C257</f>
        <v>2</v>
      </c>
      <c r="D257" s="26">
        <f>dados!D257</f>
        <v>43497</v>
      </c>
      <c r="E257" s="53">
        <f>ABS(SUMPRODUCT(dados!E:E,-(dados!$B:$B=$B257),-(dados!$C:$C&lt;=$C257)))</f>
        <v>499464.50145999994</v>
      </c>
      <c r="F257" s="53">
        <f>ABS(SUMPRODUCT(dados!F:F,-(dados!$B:$B=$B257),-(dados!$C:$C&lt;=$C257)))</f>
        <v>255328.57923</v>
      </c>
      <c r="G257" s="53">
        <f>ABS(SUMPRODUCT(dados!G:G,-(dados!$B:$B=$B257),-(dados!$C:$C&lt;=$C257)))</f>
        <v>120566.71129000001</v>
      </c>
    </row>
    <row r="258" spans="1:7" x14ac:dyDescent="0.25">
      <c r="A258" t="str">
        <f>dados!A258</f>
        <v>20193</v>
      </c>
      <c r="B258">
        <f>dados!B258</f>
        <v>2019</v>
      </c>
      <c r="C258">
        <f>dados!C258</f>
        <v>3</v>
      </c>
      <c r="D258" s="26">
        <f>dados!D258</f>
        <v>43525</v>
      </c>
      <c r="E258" s="53">
        <f>ABS(SUMPRODUCT(dados!E:E,-(dados!$B:$B=$B258),-(dados!$C:$C&lt;=$C258)))</f>
        <v>621246.42524999997</v>
      </c>
      <c r="F258" s="53">
        <f>ABS(SUMPRODUCT(dados!F:F,-(dados!$B:$B=$B258),-(dados!$C:$C&lt;=$C258)))</f>
        <v>322181.57717</v>
      </c>
      <c r="G258" s="53">
        <f>ABS(SUMPRODUCT(dados!G:G,-(dados!$B:$B=$B258),-(dados!$C:$C&lt;=$C258)))</f>
        <v>170426.65925</v>
      </c>
    </row>
    <row r="259" spans="1:7" x14ac:dyDescent="0.25">
      <c r="A259" t="str">
        <f>dados!A259</f>
        <v>20194</v>
      </c>
      <c r="B259">
        <f>dados!B259</f>
        <v>2019</v>
      </c>
      <c r="C259">
        <f>dados!C259</f>
        <v>4</v>
      </c>
      <c r="D259" s="26">
        <f>dados!D259</f>
        <v>43556</v>
      </c>
      <c r="E259" s="53">
        <f>ABS(SUMPRODUCT(dados!E:E,-(dados!$B:$B=$B259),-(dados!$C:$C&lt;=$C259)))</f>
        <v>812228.90880000009</v>
      </c>
      <c r="F259" s="53">
        <f>ABS(SUMPRODUCT(dados!F:F,-(dados!$B:$B=$B259),-(dados!$C:$C&lt;=$C259)))</f>
        <v>416931.69465999998</v>
      </c>
      <c r="G259" s="53">
        <f>ABS(SUMPRODUCT(dados!G:G,-(dados!$B:$B=$B259),-(dados!$C:$C&lt;=$C259)))</f>
        <v>229866.93781999999</v>
      </c>
    </row>
    <row r="260" spans="1:7" x14ac:dyDescent="0.25">
      <c r="A260" t="str">
        <f>dados!A260</f>
        <v>20195</v>
      </c>
      <c r="B260">
        <f>dados!B260</f>
        <v>2019</v>
      </c>
      <c r="C260">
        <f>dados!C260</f>
        <v>5</v>
      </c>
      <c r="D260" s="26">
        <f>dados!D260</f>
        <v>43586</v>
      </c>
      <c r="E260" s="53">
        <f>ABS(SUMPRODUCT(dados!E:E,-(dados!$B:$B=$B260),-(dados!$C:$C&lt;=$C260)))</f>
        <v>1057321.6474700002</v>
      </c>
      <c r="F260" s="53">
        <f>ABS(SUMPRODUCT(dados!F:F,-(dados!$B:$B=$B260),-(dados!$C:$C&lt;=$C260)))</f>
        <v>542129.74558999995</v>
      </c>
      <c r="G260" s="53">
        <f>ABS(SUMPRODUCT(dados!G:G,-(dados!$B:$B=$B260),-(dados!$C:$C&lt;=$C260)))</f>
        <v>283272.39432999998</v>
      </c>
    </row>
    <row r="261" spans="1:7" x14ac:dyDescent="0.25">
      <c r="A261" t="str">
        <f>dados!A261</f>
        <v>20196</v>
      </c>
      <c r="B261">
        <f>dados!B261</f>
        <v>2019</v>
      </c>
      <c r="C261">
        <f>dados!C261</f>
        <v>6</v>
      </c>
      <c r="D261" s="26">
        <f>dados!D261</f>
        <v>43617</v>
      </c>
      <c r="E261" s="53">
        <f>ABS(SUMPRODUCT(dados!E:E,-(dados!$B:$B=$B261),-(dados!$C:$C&lt;=$C261)))</f>
        <v>1250380.6597500001</v>
      </c>
      <c r="F261" s="53">
        <f>ABS(SUMPRODUCT(dados!F:F,-(dados!$B:$B=$B261),-(dados!$C:$C&lt;=$C261)))</f>
        <v>637181.25755999994</v>
      </c>
      <c r="G261" s="53">
        <f>ABS(SUMPRODUCT(dados!G:G,-(dados!$B:$B=$B261),-(dados!$C:$C&lt;=$C261)))</f>
        <v>345608.39954000001</v>
      </c>
    </row>
    <row r="262" spans="1:7" x14ac:dyDescent="0.25">
      <c r="A262" t="str">
        <f>dados!A262</f>
        <v>20197</v>
      </c>
      <c r="B262">
        <f>dados!B262</f>
        <v>2019</v>
      </c>
      <c r="C262">
        <f>dados!C262</f>
        <v>7</v>
      </c>
      <c r="D262" s="26">
        <f>dados!D262</f>
        <v>43647</v>
      </c>
      <c r="E262" s="53">
        <f>ABS(SUMPRODUCT(dados!E:E,-(dados!$B:$B=$B262),-(dados!$C:$C&lt;=$C262)))</f>
        <v>1540693.9449300002</v>
      </c>
      <c r="F262" s="53">
        <f>ABS(SUMPRODUCT(dados!F:F,-(dados!$B:$B=$B262),-(dados!$C:$C&lt;=$C262)))</f>
        <v>719443.14454999997</v>
      </c>
      <c r="G262" s="53">
        <f>ABS(SUMPRODUCT(dados!G:G,-(dados!$B:$B=$B262),-(dados!$C:$C&lt;=$C262)))</f>
        <v>408712.56675</v>
      </c>
    </row>
    <row r="263" spans="1:7" x14ac:dyDescent="0.25">
      <c r="A263" t="str">
        <f>dados!A263</f>
        <v>20198</v>
      </c>
      <c r="B263">
        <f>dados!B263</f>
        <v>2019</v>
      </c>
      <c r="C263">
        <f>dados!C263</f>
        <v>8</v>
      </c>
      <c r="D263" s="26">
        <f>dados!D263</f>
        <v>43678</v>
      </c>
      <c r="E263" s="53">
        <f>ABS(SUMPRODUCT(dados!E:E,-(dados!$B:$B=$B263),-(dados!$C:$C&lt;=$C263)))</f>
        <v>1733401.4014600001</v>
      </c>
      <c r="F263" s="53">
        <f>ABS(SUMPRODUCT(dados!F:F,-(dados!$B:$B=$B263),-(dados!$C:$C&lt;=$C263)))</f>
        <v>823010.75257000001</v>
      </c>
      <c r="G263" s="53">
        <f>ABS(SUMPRODUCT(dados!G:G,-(dados!$B:$B=$B263),-(dados!$C:$C&lt;=$C263)))</f>
        <v>465191.34950999997</v>
      </c>
    </row>
    <row r="264" spans="1:7" x14ac:dyDescent="0.25">
      <c r="A264" t="str">
        <f>dados!A264</f>
        <v>20199</v>
      </c>
      <c r="B264">
        <f>dados!B264</f>
        <v>2019</v>
      </c>
      <c r="C264">
        <f>dados!C264</f>
        <v>9</v>
      </c>
      <c r="D264" s="26">
        <f>dados!D264</f>
        <v>43709</v>
      </c>
      <c r="E264" s="53">
        <f>ABS(SUMPRODUCT(dados!E:E,-(dados!$B:$B=$B264),-(dados!$C:$C&lt;=$C264)))</f>
        <v>1904939.4583000001</v>
      </c>
      <c r="F264" s="53">
        <f>ABS(SUMPRODUCT(dados!F:F,-(dados!$B:$B=$B264),-(dados!$C:$C&lt;=$C264)))</f>
        <v>920314.50716000004</v>
      </c>
      <c r="G264" s="53">
        <f>ABS(SUMPRODUCT(dados!G:G,-(dados!$B:$B=$B264),-(dados!$C:$C&lt;=$C264)))</f>
        <v>534040.39536999993</v>
      </c>
    </row>
    <row r="265" spans="1:7" x14ac:dyDescent="0.25">
      <c r="A265" t="str">
        <f>dados!A265</f>
        <v>201910</v>
      </c>
      <c r="B265">
        <f>dados!B265</f>
        <v>2019</v>
      </c>
      <c r="C265">
        <f>dados!C265</f>
        <v>10</v>
      </c>
      <c r="D265" s="26">
        <f>dados!D265</f>
        <v>43739</v>
      </c>
      <c r="E265" s="53">
        <f>ABS(SUMPRODUCT(dados!E:E,-(dados!$B:$B=$B265),-(dados!$C:$C&lt;=$C265)))</f>
        <v>2062862.51743</v>
      </c>
      <c r="F265" s="53">
        <f>ABS(SUMPRODUCT(dados!F:F,-(dados!$B:$B=$B265),-(dados!$C:$C&lt;=$C265)))</f>
        <v>998380.06590000005</v>
      </c>
      <c r="G265" s="53">
        <f>ABS(SUMPRODUCT(dados!G:G,-(dados!$B:$B=$B265),-(dados!$C:$C&lt;=$C265)))</f>
        <v>594971.01566999988</v>
      </c>
    </row>
    <row r="266" spans="1:7" x14ac:dyDescent="0.25">
      <c r="A266" t="str">
        <f>dados!A266</f>
        <v>201911</v>
      </c>
      <c r="B266">
        <f>dados!B266</f>
        <v>2019</v>
      </c>
      <c r="C266">
        <f>dados!C266</f>
        <v>11</v>
      </c>
      <c r="D266" s="26">
        <f>dados!D266</f>
        <v>43770</v>
      </c>
      <c r="E266" s="53">
        <f>ABS(SUMPRODUCT(dados!E:E,-(dados!$B:$B=$B266),-(dados!$C:$C&lt;=$C266)))</f>
        <v>2277186.7043599999</v>
      </c>
      <c r="F266" s="53">
        <f>ABS(SUMPRODUCT(dados!F:F,-(dados!$B:$B=$B266),-(dados!$C:$C&lt;=$C266)))</f>
        <v>1115808.3134900001</v>
      </c>
      <c r="G266" s="53">
        <f>ABS(SUMPRODUCT(dados!G:G,-(dados!$B:$B=$B266),-(dados!$C:$C&lt;=$C266)))</f>
        <v>658957.0160099999</v>
      </c>
    </row>
    <row r="267" spans="1:7" x14ac:dyDescent="0.25">
      <c r="A267" t="str">
        <f>dados!A267</f>
        <v>201912</v>
      </c>
      <c r="B267">
        <f>dados!B267</f>
        <v>2019</v>
      </c>
      <c r="C267">
        <f>dados!C267</f>
        <v>12</v>
      </c>
      <c r="D267" s="26">
        <f>dados!D267</f>
        <v>43800</v>
      </c>
      <c r="E267" s="53">
        <f>ABS(SUMPRODUCT(dados!E:E,-(dados!$B:$B=$B267),-(dados!$C:$C&lt;=$C267)))</f>
        <v>2669889.0308400001</v>
      </c>
      <c r="F267" s="53">
        <f>ABS(SUMPRODUCT(dados!F:F,-(dados!$B:$B=$B267),-(dados!$C:$C&lt;=$C267)))</f>
        <v>1264841.45358</v>
      </c>
      <c r="G267" s="53">
        <f>ABS(SUMPRODUCT(dados!G:G,-(dados!$B:$B=$B267),-(dados!$C:$C&lt;=$C267)))</f>
        <v>734166.65044999984</v>
      </c>
    </row>
    <row r="268" spans="1:7" x14ac:dyDescent="0.25">
      <c r="A268" t="str">
        <f>dados!A268</f>
        <v>19001</v>
      </c>
      <c r="B268">
        <f>dados!B268</f>
        <v>1900</v>
      </c>
      <c r="C268">
        <f>dados!C268</f>
        <v>1</v>
      </c>
      <c r="D268" s="26">
        <f>dados!D268</f>
        <v>0</v>
      </c>
      <c r="E268" s="53">
        <f>ABS(SUMPRODUCT(dados!E:E,-(dados!$B:$B=$B268),-(dados!$C:$C&lt;=$C268)))</f>
        <v>0</v>
      </c>
      <c r="F268" s="53">
        <f>ABS(SUMPRODUCT(dados!F:F,-(dados!$B:$B=$B268),-(dados!$C:$C&lt;=$C268)))</f>
        <v>0</v>
      </c>
      <c r="G268" s="53">
        <f>ABS(SUMPRODUCT(dados!G:G,-(dados!$B:$B=$B268),-(dados!$C:$C&lt;=$C268)))</f>
        <v>0</v>
      </c>
    </row>
    <row r="269" spans="1:7" x14ac:dyDescent="0.25">
      <c r="A269" t="str">
        <f>dados!A269</f>
        <v>19001</v>
      </c>
      <c r="B269">
        <f>dados!B269</f>
        <v>1900</v>
      </c>
      <c r="C269">
        <f>dados!C269</f>
        <v>1</v>
      </c>
      <c r="D269" s="26">
        <f>dados!D269</f>
        <v>0</v>
      </c>
      <c r="E269" s="53">
        <f>ABS(SUMPRODUCT(dados!E:E,-(dados!$B:$B=$B269),-(dados!$C:$C&lt;=$C269)))</f>
        <v>0</v>
      </c>
      <c r="F269" s="53">
        <f>ABS(SUMPRODUCT(dados!F:F,-(dados!$B:$B=$B269),-(dados!$C:$C&lt;=$C269)))</f>
        <v>0</v>
      </c>
      <c r="G269" s="53">
        <f>ABS(SUMPRODUCT(dados!G:G,-(dados!$B:$B=$B269),-(dados!$C:$C&lt;=$C269)))</f>
        <v>0</v>
      </c>
    </row>
    <row r="270" spans="1:7" x14ac:dyDescent="0.25">
      <c r="A270" t="str">
        <f>dados!A270</f>
        <v>19001</v>
      </c>
      <c r="B270">
        <f>dados!B270</f>
        <v>1900</v>
      </c>
      <c r="C270">
        <f>dados!C270</f>
        <v>1</v>
      </c>
      <c r="D270" s="26">
        <f>dados!D270</f>
        <v>0</v>
      </c>
      <c r="E270" s="53">
        <f>ABS(SUMPRODUCT(dados!E:E,-(dados!$B:$B=$B270),-(dados!$C:$C&lt;=$C270)))</f>
        <v>0</v>
      </c>
      <c r="F270" s="53">
        <f>ABS(SUMPRODUCT(dados!F:F,-(dados!$B:$B=$B270),-(dados!$C:$C&lt;=$C270)))</f>
        <v>0</v>
      </c>
      <c r="G270" s="53">
        <f>ABS(SUMPRODUCT(dados!G:G,-(dados!$B:$B=$B270),-(dados!$C:$C&lt;=$C270)))</f>
        <v>0</v>
      </c>
    </row>
    <row r="271" spans="1:7" x14ac:dyDescent="0.25">
      <c r="A271" t="str">
        <f>dados!A271</f>
        <v>19001</v>
      </c>
      <c r="B271">
        <f>dados!B271</f>
        <v>1900</v>
      </c>
      <c r="C271">
        <f>dados!C271</f>
        <v>1</v>
      </c>
      <c r="D271" s="26">
        <f>dados!D271</f>
        <v>0</v>
      </c>
      <c r="E271" s="53">
        <f>ABS(SUMPRODUCT(dados!E:E,-(dados!$B:$B=$B271),-(dados!$C:$C&lt;=$C271)))</f>
        <v>0</v>
      </c>
      <c r="F271" s="53">
        <f>ABS(SUMPRODUCT(dados!F:F,-(dados!$B:$B=$B271),-(dados!$C:$C&lt;=$C271)))</f>
        <v>0</v>
      </c>
      <c r="G271" s="53">
        <f>ABS(SUMPRODUCT(dados!G:G,-(dados!$B:$B=$B271),-(dados!$C:$C&lt;=$C271)))</f>
        <v>0</v>
      </c>
    </row>
    <row r="272" spans="1:7" x14ac:dyDescent="0.25">
      <c r="A272" t="str">
        <f>dados!A272</f>
        <v>19001</v>
      </c>
      <c r="B272">
        <f>dados!B272</f>
        <v>1900</v>
      </c>
      <c r="C272">
        <f>dados!C272</f>
        <v>1</v>
      </c>
      <c r="D272" s="26">
        <f>dados!D272</f>
        <v>0</v>
      </c>
      <c r="E272" s="53">
        <f>ABS(SUMPRODUCT(dados!E:E,-(dados!$B:$B=$B272),-(dados!$C:$C&lt;=$C272)))</f>
        <v>0</v>
      </c>
      <c r="F272" s="53">
        <f>ABS(SUMPRODUCT(dados!F:F,-(dados!$B:$B=$B272),-(dados!$C:$C&lt;=$C272)))</f>
        <v>0</v>
      </c>
      <c r="G272" s="53">
        <f>ABS(SUMPRODUCT(dados!G:G,-(dados!$B:$B=$B272),-(dados!$C:$C&lt;=$C272)))</f>
        <v>0</v>
      </c>
    </row>
    <row r="273" spans="1:7" x14ac:dyDescent="0.25">
      <c r="A273" t="str">
        <f>dados!A273</f>
        <v>19001</v>
      </c>
      <c r="B273">
        <f>dados!B273</f>
        <v>1900</v>
      </c>
      <c r="C273">
        <f>dados!C273</f>
        <v>1</v>
      </c>
      <c r="D273" s="26">
        <f>dados!D273</f>
        <v>0</v>
      </c>
      <c r="E273" s="53">
        <f>ABS(SUMPRODUCT(dados!E:E,-(dados!$B:$B=$B273),-(dados!$C:$C&lt;=$C273)))</f>
        <v>0</v>
      </c>
      <c r="F273" s="53">
        <f>ABS(SUMPRODUCT(dados!F:F,-(dados!$B:$B=$B273),-(dados!$C:$C&lt;=$C273)))</f>
        <v>0</v>
      </c>
      <c r="G273" s="53">
        <f>ABS(SUMPRODUCT(dados!G:G,-(dados!$B:$B=$B273),-(dados!$C:$C&lt;=$C273)))</f>
        <v>0</v>
      </c>
    </row>
    <row r="274" spans="1:7" x14ac:dyDescent="0.25">
      <c r="A274" t="str">
        <f>dados!A274</f>
        <v>19001</v>
      </c>
      <c r="B274">
        <f>dados!B274</f>
        <v>1900</v>
      </c>
      <c r="C274">
        <f>dados!C274</f>
        <v>1</v>
      </c>
      <c r="D274" s="26">
        <f>dados!D274</f>
        <v>0</v>
      </c>
      <c r="E274" s="53">
        <f>ABS(SUMPRODUCT(dados!E:E,-(dados!$B:$B=$B274),-(dados!$C:$C&lt;=$C274)))</f>
        <v>0</v>
      </c>
      <c r="F274" s="53">
        <f>ABS(SUMPRODUCT(dados!F:F,-(dados!$B:$B=$B274),-(dados!$C:$C&lt;=$C274)))</f>
        <v>0</v>
      </c>
      <c r="G274" s="53">
        <f>ABS(SUMPRODUCT(dados!G:G,-(dados!$B:$B=$B274),-(dados!$C:$C&lt;=$C274)))</f>
        <v>0</v>
      </c>
    </row>
    <row r="275" spans="1:7" x14ac:dyDescent="0.25">
      <c r="A275" t="str">
        <f>dados!A275</f>
        <v>19001</v>
      </c>
      <c r="B275">
        <f>dados!B275</f>
        <v>1900</v>
      </c>
      <c r="C275">
        <f>dados!C275</f>
        <v>1</v>
      </c>
      <c r="D275" s="26">
        <f>dados!D275</f>
        <v>0</v>
      </c>
      <c r="E275" s="53">
        <f>ABS(SUMPRODUCT(dados!E:E,-(dados!$B:$B=$B275),-(dados!$C:$C&lt;=$C275)))</f>
        <v>0</v>
      </c>
      <c r="F275" s="53">
        <f>ABS(SUMPRODUCT(dados!F:F,-(dados!$B:$B=$B275),-(dados!$C:$C&lt;=$C275)))</f>
        <v>0</v>
      </c>
      <c r="G275" s="53">
        <f>ABS(SUMPRODUCT(dados!G:G,-(dados!$B:$B=$B275),-(dados!$C:$C&lt;=$C275)))</f>
        <v>0</v>
      </c>
    </row>
    <row r="276" spans="1:7" x14ac:dyDescent="0.25">
      <c r="A276" t="str">
        <f>dados!A276</f>
        <v>19001</v>
      </c>
      <c r="B276">
        <f>dados!B276</f>
        <v>1900</v>
      </c>
      <c r="C276">
        <f>dados!C276</f>
        <v>1</v>
      </c>
      <c r="D276" s="26">
        <f>dados!D276</f>
        <v>0</v>
      </c>
      <c r="E276" s="53">
        <f>ABS(SUMPRODUCT(dados!E:E,-(dados!$B:$B=$B276),-(dados!$C:$C&lt;=$C276)))</f>
        <v>0</v>
      </c>
      <c r="F276" s="53">
        <f>ABS(SUMPRODUCT(dados!F:F,-(dados!$B:$B=$B276),-(dados!$C:$C&lt;=$C276)))</f>
        <v>0</v>
      </c>
      <c r="G276" s="53">
        <f>ABS(SUMPRODUCT(dados!G:G,-(dados!$B:$B=$B276),-(dados!$C:$C&lt;=$C276)))</f>
        <v>0</v>
      </c>
    </row>
    <row r="277" spans="1:7" x14ac:dyDescent="0.25">
      <c r="A277" t="str">
        <f>dados!A277</f>
        <v>19001</v>
      </c>
      <c r="B277">
        <f>dados!B277</f>
        <v>1900</v>
      </c>
      <c r="C277">
        <f>dados!C277</f>
        <v>1</v>
      </c>
      <c r="D277" s="26">
        <f>dados!D277</f>
        <v>0</v>
      </c>
      <c r="E277" s="53">
        <f>ABS(SUMPRODUCT(dados!E:E,-(dados!$B:$B=$B277),-(dados!$C:$C&lt;=$C277)))</f>
        <v>0</v>
      </c>
      <c r="F277" s="53">
        <f>ABS(SUMPRODUCT(dados!F:F,-(dados!$B:$B=$B277),-(dados!$C:$C&lt;=$C277)))</f>
        <v>0</v>
      </c>
      <c r="G277" s="53">
        <f>ABS(SUMPRODUCT(dados!G:G,-(dados!$B:$B=$B277),-(dados!$C:$C&lt;=$C277)))</f>
        <v>0</v>
      </c>
    </row>
    <row r="278" spans="1:7" x14ac:dyDescent="0.25">
      <c r="A278" t="str">
        <f>dados!A278</f>
        <v>19001</v>
      </c>
      <c r="B278">
        <f>dados!B278</f>
        <v>1900</v>
      </c>
      <c r="C278">
        <f>dados!C278</f>
        <v>1</v>
      </c>
      <c r="D278" s="26">
        <f>dados!D278</f>
        <v>0</v>
      </c>
      <c r="E278" s="53">
        <f>ABS(SUMPRODUCT(dados!E:E,-(dados!$B:$B=$B278),-(dados!$C:$C&lt;=$C278)))</f>
        <v>0</v>
      </c>
      <c r="F278" s="53">
        <f>ABS(SUMPRODUCT(dados!F:F,-(dados!$B:$B=$B278),-(dados!$C:$C&lt;=$C278)))</f>
        <v>0</v>
      </c>
      <c r="G278" s="53">
        <f>ABS(SUMPRODUCT(dados!G:G,-(dados!$B:$B=$B278),-(dados!$C:$C&lt;=$C278)))</f>
        <v>0</v>
      </c>
    </row>
    <row r="279" spans="1:7" x14ac:dyDescent="0.25">
      <c r="A279" t="str">
        <f>dados!A279</f>
        <v>19001</v>
      </c>
      <c r="B279">
        <f>dados!B279</f>
        <v>1900</v>
      </c>
      <c r="C279">
        <f>dados!C279</f>
        <v>1</v>
      </c>
      <c r="D279" s="26">
        <f>dados!D279</f>
        <v>0</v>
      </c>
      <c r="E279" s="53">
        <f>ABS(SUMPRODUCT(dados!E:E,-(dados!$B:$B=$B279),-(dados!$C:$C&lt;=$C279)))</f>
        <v>0</v>
      </c>
      <c r="F279" s="53">
        <f>ABS(SUMPRODUCT(dados!F:F,-(dados!$B:$B=$B279),-(dados!$C:$C&lt;=$C279)))</f>
        <v>0</v>
      </c>
      <c r="G279" s="53">
        <f>ABS(SUMPRODUCT(dados!G:G,-(dados!$B:$B=$B279),-(dados!$C:$C&lt;=$C279)))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showGridLines="0" tabSelected="1" workbookViewId="0">
      <selection activeCell="A2" sqref="A2"/>
    </sheetView>
  </sheetViews>
  <sheetFormatPr defaultRowHeight="15.75" x14ac:dyDescent="0.25"/>
  <cols>
    <col min="1" max="1" width="46" style="5" customWidth="1"/>
    <col min="2" max="2" width="14.5703125" style="5" customWidth="1"/>
    <col min="3" max="3" width="14.85546875" style="5" customWidth="1"/>
    <col min="4" max="4" width="15.85546875" style="5" customWidth="1"/>
    <col min="5" max="5" width="15.28515625" style="5" customWidth="1"/>
    <col min="6" max="6" width="15.7109375" style="5" customWidth="1"/>
    <col min="7" max="7" width="18" style="5" customWidth="1"/>
    <col min="8" max="8" width="19.42578125" style="5" customWidth="1"/>
    <col min="9" max="9" width="18.5703125" style="5" customWidth="1"/>
    <col min="10" max="10" width="2.28515625" style="5" customWidth="1"/>
    <col min="11" max="11" width="1.42578125" style="5" customWidth="1"/>
    <col min="12" max="12" width="9.140625" style="5"/>
    <col min="13" max="13" width="12.42578125" style="5" bestFit="1" customWidth="1"/>
    <col min="14" max="14" width="11.5703125" style="5" customWidth="1"/>
    <col min="15" max="15" width="9.140625" style="5"/>
    <col min="16" max="16" width="12.42578125" style="5" bestFit="1" customWidth="1"/>
    <col min="17" max="17" width="9.140625" style="5"/>
    <col min="18" max="18" width="9.5703125" style="5" bestFit="1" customWidth="1"/>
    <col min="19" max="19" width="12.42578125" style="5" bestFit="1" customWidth="1"/>
    <col min="20" max="21" width="9.140625" style="5"/>
    <col min="22" max="22" width="12.42578125" style="5" bestFit="1" customWidth="1"/>
    <col min="23" max="16384" width="9.140625" style="5"/>
  </cols>
  <sheetData>
    <row r="1" spans="1:14" ht="24" thickBot="1" x14ac:dyDescent="0.4">
      <c r="A1" s="170" t="s">
        <v>40</v>
      </c>
      <c r="B1" s="170"/>
      <c r="C1" s="170"/>
      <c r="D1" s="170"/>
      <c r="E1" s="170"/>
      <c r="F1" s="170"/>
      <c r="G1" s="170"/>
      <c r="H1" s="170"/>
      <c r="I1" s="170"/>
      <c r="L1"/>
      <c r="M1"/>
      <c r="N1"/>
    </row>
    <row r="2" spans="1:14" ht="16.5" thickBot="1" x14ac:dyDescent="0.3">
      <c r="A2"/>
      <c r="B2"/>
      <c r="C2"/>
      <c r="D2"/>
      <c r="E2"/>
      <c r="F2"/>
      <c r="G2"/>
      <c r="H2"/>
      <c r="I2"/>
      <c r="L2" s="164" t="s">
        <v>38</v>
      </c>
      <c r="M2" s="165"/>
      <c r="N2" s="166"/>
    </row>
    <row r="3" spans="1:14" ht="19.5" thickBot="1" x14ac:dyDescent="0.3">
      <c r="A3" s="171"/>
      <c r="B3" s="172"/>
      <c r="C3" s="172"/>
      <c r="D3" s="172"/>
      <c r="E3" s="172"/>
      <c r="F3" s="172"/>
      <c r="G3" s="172"/>
      <c r="H3" s="172"/>
      <c r="I3" s="173"/>
      <c r="L3" s="167">
        <v>43800</v>
      </c>
      <c r="M3" s="168"/>
      <c r="N3" s="169"/>
    </row>
    <row r="4" spans="1:14" ht="24" customHeight="1" x14ac:dyDescent="0.25">
      <c r="A4" s="174" t="s">
        <v>21</v>
      </c>
      <c r="B4" s="176" t="s">
        <v>39</v>
      </c>
      <c r="C4" s="177"/>
      <c r="D4" s="177"/>
      <c r="E4" s="177"/>
      <c r="F4" s="178"/>
      <c r="G4" s="176" t="s">
        <v>20</v>
      </c>
      <c r="H4" s="177"/>
      <c r="I4" s="178"/>
    </row>
    <row r="5" spans="1:14" ht="60.75" customHeight="1" x14ac:dyDescent="0.25">
      <c r="A5" s="175"/>
      <c r="B5" s="54" t="s">
        <v>33</v>
      </c>
      <c r="C5" s="54" t="s">
        <v>34</v>
      </c>
      <c r="D5" s="54" t="s">
        <v>35</v>
      </c>
      <c r="E5" s="54" t="s">
        <v>36</v>
      </c>
      <c r="F5" s="54" t="s">
        <v>37</v>
      </c>
      <c r="G5" s="179" t="str">
        <f>CONCATENATE("Variação do mês de ",(TEXT(B6,"MMMM"))&amp;" de "&amp;YEAR(B6)&amp;" /  "&amp;"mês anterior: "&amp;(TEXT(B6-1,"MMMM")))</f>
        <v>Variação do mês de dezembro de 2019 /  mês anterior: novembro</v>
      </c>
      <c r="H5" s="179" t="str">
        <f>CONCATENATE("Variação do mês de "&amp;(TEXT(B6,"MMMM")&amp;" de "&amp;YEAR(B6))&amp;" / ",(TEXT(B6,"MMMM")&amp;" do ano anterior"))</f>
        <v>Variação do mês de dezembro de 2019 / dezembro do ano anterior</v>
      </c>
      <c r="I5" s="179" t="str">
        <f>CONCATENATE("Variação de "&amp;YEAR(L3)&amp;" acumulado até "&amp;(TEXT(L3,"MMMM"))&amp;" / ano anterior "&amp;"acumulado até "&amp;(TEXT(L3,"MMMM")))</f>
        <v>Variação de 2019 acumulado até dezembro / ano anterior acumulado até dezembro</v>
      </c>
    </row>
    <row r="6" spans="1:14" ht="72" customHeight="1" thickBot="1" x14ac:dyDescent="0.3">
      <c r="A6" s="175"/>
      <c r="B6" s="80">
        <f>L3</f>
        <v>43800</v>
      </c>
      <c r="C6" s="80">
        <f>EDATE(L3,-1)</f>
        <v>43770</v>
      </c>
      <c r="D6" s="80">
        <f>EDATE(L3,-12)</f>
        <v>43435</v>
      </c>
      <c r="E6" s="81" t="str">
        <f>CONCATENATE("Ano de "&amp;YEAR(B6)&amp;" acumulado até "&amp;(TEXT(B6,"MMMM")))</f>
        <v>Ano de 2019 acumulado até dezembro</v>
      </c>
      <c r="F6" s="81" t="str">
        <f>CONCATENATE("Ano de "&amp;(YEAR(D6)&amp;" acumulado até "&amp;(TEXT(D6,"MMMM"))))</f>
        <v>Ano de 2018 acumulado até dezembro</v>
      </c>
      <c r="G6" s="180"/>
      <c r="H6" s="180"/>
      <c r="I6" s="180"/>
    </row>
    <row r="7" spans="1:14" ht="42" customHeight="1" x14ac:dyDescent="0.25">
      <c r="A7" s="82" t="s">
        <v>30</v>
      </c>
      <c r="B7" s="83">
        <f>VLOOKUP(YEAR($L$3)&amp;MONTH($L$3),dados!$A$4:$G$14162,5,FALSE)</f>
        <v>392702.32648000022</v>
      </c>
      <c r="C7" s="83">
        <f>IFERROR(VLOOKUP(YEAR($C$6)&amp;MONTH($C$6),dados!$A$4:$G$14162,5,FALSE),"-")</f>
        <v>214324.18693</v>
      </c>
      <c r="D7" s="83">
        <f>IFERROR(VLOOKUP(YEAR($D$6)&amp;MONTH($D$6),dados!$A$4:$G$14162,5,FALSE),"-")</f>
        <v>350294.57965999993</v>
      </c>
      <c r="E7" s="83">
        <f>VLOOKUP(YEAR($L$3)&amp;MONTH($L$3),dados_acumulados!$A$4:$AE$15000,5,FALSE)</f>
        <v>2669889.0308400001</v>
      </c>
      <c r="F7" s="83">
        <f>IFERROR(VLOOKUP(YEAR($D$6)&amp;MONTH($D$6),dados_acumulados!$A$2:$AE$15000,5,FALSE),"-")</f>
        <v>2444665.9673899999</v>
      </c>
      <c r="G7" s="84">
        <f t="shared" ref="G7:G8" si="0">IFERROR((B7-C7)/C7 * 100,"-")</f>
        <v>83.228189083605372</v>
      </c>
      <c r="H7" s="84">
        <f t="shared" ref="H7:H8" si="1">IFERROR((B7-D7)/D7*100,"-")</f>
        <v>12.106309741121816</v>
      </c>
      <c r="I7" s="85">
        <f t="shared" ref="I7:I8" si="2">IFERROR((E7-F7)/F7 *100,"-")</f>
        <v>9.212835882460265</v>
      </c>
    </row>
    <row r="8" spans="1:14" ht="44.25" customHeight="1" x14ac:dyDescent="0.25">
      <c r="A8" s="57" t="s">
        <v>31</v>
      </c>
      <c r="B8" s="58">
        <f>VLOOKUP(YEAR($L$3)&amp;MONTH($L$3),dados!$A$4:$G$14162,6,FALSE)</f>
        <v>149033.14009</v>
      </c>
      <c r="C8" s="58">
        <f>IFERROR(VLOOKUP(YEAR($C$6)&amp;MONTH($C$6),dados!$A$4:$G$14162,6,FALSE),"-")</f>
        <v>117428.24759</v>
      </c>
      <c r="D8" s="58">
        <f>IFERROR(VLOOKUP(YEAR($D$6)&amp;MONTH($D$6),dados!$A$4:$G$14162,6,FALSE),"-")</f>
        <v>131602.88417999999</v>
      </c>
      <c r="E8" s="58">
        <f>VLOOKUP(YEAR($L$3)&amp;MONTH($L$3),dados_acumulados!$A$4:$AE$15000,6,FALSE)</f>
        <v>1264841.45358</v>
      </c>
      <c r="F8" s="58">
        <f>IFERROR(VLOOKUP(YEAR($D$6)&amp;MONTH($D$6),dados_acumulados!$A$2:$AE$15000,6,FALSE),"-")</f>
        <v>1153817.17344</v>
      </c>
      <c r="G8" s="59">
        <f t="shared" si="0"/>
        <v>26.914216254293677</v>
      </c>
      <c r="H8" s="59">
        <f t="shared" si="1"/>
        <v>13.244585039762317</v>
      </c>
      <c r="I8" s="86">
        <f t="shared" si="2"/>
        <v>9.6223459570281165</v>
      </c>
    </row>
    <row r="9" spans="1:14" ht="30" customHeight="1" thickBot="1" x14ac:dyDescent="0.3">
      <c r="A9" s="60" t="s">
        <v>27</v>
      </c>
      <c r="B9" s="61">
        <f>VLOOKUP(YEAR($L$3)&amp;MONTH($L$3),dados!$A$4:$G$14162,7,FALSE)</f>
        <v>75209.634439999994</v>
      </c>
      <c r="C9" s="61">
        <f>IFERROR(VLOOKUP(YEAR($C$6)&amp;MONTH($C$6),dados!$A$4:$G$14162,7,FALSE),"-")</f>
        <v>63986.000340000006</v>
      </c>
      <c r="D9" s="61">
        <f>IFERROR(VLOOKUP(YEAR($D$6)&amp;MONTH($D$6),dados!$A$4:$G$14162,7,FALSE),"-")</f>
        <v>76309.312900000004</v>
      </c>
      <c r="E9" s="61">
        <f>VLOOKUP(YEAR($L$3)&amp;MONTH($L$3),dados_acumulados!$A$4:$AE$15000,7,FALSE)</f>
        <v>734166.65044999984</v>
      </c>
      <c r="F9" s="61">
        <f>IFERROR(VLOOKUP(YEAR($D$6)&amp;MONTH($D$6),dados_acumulados!$A$2:$AE$15000,7,FALSE),"-")</f>
        <v>797630.62144999998</v>
      </c>
      <c r="G9" s="62">
        <f>IFERROR((B9-C9)/ABS(C9) * 100,"-")</f>
        <v>17.540765230458828</v>
      </c>
      <c r="H9" s="62">
        <f>IFERROR((B9-D9)/ABS(D9)*100,"-")</f>
        <v>-1.4410802799929419</v>
      </c>
      <c r="I9" s="87">
        <f>IFERROR((E9-F9)/ABS(F9) *100,"-")</f>
        <v>-7.9565615077101723</v>
      </c>
    </row>
    <row r="10" spans="1:14" x14ac:dyDescent="0.25">
      <c r="A10" s="55" t="s">
        <v>26</v>
      </c>
    </row>
    <row r="11" spans="1:14" x14ac:dyDescent="0.25">
      <c r="A11" s="6" t="s">
        <v>15</v>
      </c>
      <c r="C11" s="55"/>
      <c r="D11" s="55"/>
      <c r="E11" s="55"/>
      <c r="F11" s="55"/>
    </row>
    <row r="12" spans="1:14" x14ac:dyDescent="0.25">
      <c r="A12" s="6" t="s">
        <v>14</v>
      </c>
      <c r="C12" s="7"/>
      <c r="D12" s="7"/>
      <c r="E12" s="7"/>
      <c r="F12" s="7"/>
    </row>
    <row r="15" spans="1:14" x14ac:dyDescent="0.25">
      <c r="G15" s="162"/>
      <c r="H15" s="162"/>
      <c r="I15" s="162"/>
    </row>
    <row r="16" spans="1:14" x14ac:dyDescent="0.25">
      <c r="G16" s="162"/>
      <c r="H16" s="162"/>
      <c r="I16" s="162"/>
    </row>
    <row r="17" spans="7:9" x14ac:dyDescent="0.25">
      <c r="G17" s="162"/>
      <c r="H17" s="162"/>
      <c r="I17" s="162"/>
    </row>
  </sheetData>
  <mergeCells count="10">
    <mergeCell ref="L2:N2"/>
    <mergeCell ref="L3:N3"/>
    <mergeCell ref="A1:I1"/>
    <mergeCell ref="A3:I3"/>
    <mergeCell ref="A4:A6"/>
    <mergeCell ref="B4:F4"/>
    <mergeCell ref="G4:I4"/>
    <mergeCell ref="G5:G6"/>
    <mergeCell ref="H5:H6"/>
    <mergeCell ref="I5:I6"/>
  </mergeCells>
  <dataValidations count="1">
    <dataValidation type="list" allowBlank="1" showInputMessage="1" showErrorMessage="1" sqref="L3:N3">
      <formula1>lista_ind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3"/>
  <sheetViews>
    <sheetView showGridLines="0" zoomScaleNormal="100" workbookViewId="0">
      <selection activeCell="A3" sqref="A3"/>
    </sheetView>
  </sheetViews>
  <sheetFormatPr defaultRowHeight="15" x14ac:dyDescent="0.25"/>
  <cols>
    <col min="1" max="1" width="32.140625" style="30" customWidth="1"/>
    <col min="2" max="2" width="12.28515625" style="13" customWidth="1"/>
    <col min="3" max="3" width="24.28515625" style="13" customWidth="1"/>
    <col min="4" max="4" width="29.28515625" style="13" customWidth="1"/>
    <col min="5" max="5" width="27.5703125" style="13" customWidth="1"/>
    <col min="6" max="16384" width="9.140625" style="13"/>
  </cols>
  <sheetData>
    <row r="1" spans="1:5" ht="21" x14ac:dyDescent="0.35">
      <c r="A1" s="28" t="s">
        <v>19</v>
      </c>
      <c r="C1" s="11"/>
      <c r="D1" s="12"/>
      <c r="E1" s="12"/>
    </row>
    <row r="2" spans="1:5" ht="18.75" x14ac:dyDescent="0.3">
      <c r="A2" s="29" t="s">
        <v>28</v>
      </c>
      <c r="C2" s="11"/>
      <c r="D2" s="12"/>
      <c r="E2" s="12"/>
    </row>
    <row r="3" spans="1:5" ht="15.75" thickBot="1" x14ac:dyDescent="0.3">
      <c r="C3" s="11"/>
      <c r="D3" s="12"/>
      <c r="E3" s="27" t="s">
        <v>22</v>
      </c>
    </row>
    <row r="4" spans="1:5" s="31" customFormat="1" ht="27.75" customHeight="1" x14ac:dyDescent="0.2">
      <c r="A4" s="189" t="s">
        <v>24</v>
      </c>
      <c r="B4" s="187" t="s">
        <v>25</v>
      </c>
      <c r="C4" s="185" t="s">
        <v>21</v>
      </c>
      <c r="D4" s="185"/>
      <c r="E4" s="186"/>
    </row>
    <row r="5" spans="1:5" s="31" customFormat="1" ht="51.75" customHeight="1" thickBot="1" x14ac:dyDescent="0.25">
      <c r="A5" s="190"/>
      <c r="B5" s="188"/>
      <c r="C5" s="49" t="s">
        <v>30</v>
      </c>
      <c r="D5" s="49" t="s">
        <v>31</v>
      </c>
      <c r="E5" s="50" t="s">
        <v>27</v>
      </c>
    </row>
    <row r="6" spans="1:5" s="31" customFormat="1" ht="12.75" x14ac:dyDescent="0.2">
      <c r="A6" s="47">
        <f>A7</f>
        <v>1998</v>
      </c>
      <c r="B6" s="48" t="s">
        <v>29</v>
      </c>
      <c r="C6" s="45">
        <f>SUM(C7:C18)</f>
        <v>319141</v>
      </c>
      <c r="D6" s="45">
        <f t="shared" ref="D6:E6" si="0">SUM(D7:D18)</f>
        <v>141806</v>
      </c>
      <c r="E6" s="46">
        <f t="shared" si="0"/>
        <v>68442</v>
      </c>
    </row>
    <row r="7" spans="1:5" s="32" customFormat="1" ht="12.75" x14ac:dyDescent="0.2">
      <c r="A7" s="35">
        <f>YEAR(B7)</f>
        <v>1998</v>
      </c>
      <c r="B7" s="39">
        <v>35796</v>
      </c>
      <c r="C7" s="33">
        <f>VLOOKUP($B7,dados!$D$4:$G$500,2,FALSE)</f>
        <v>32577</v>
      </c>
      <c r="D7" s="33">
        <f>VLOOKUP($B7,dados!$D$4:$G$500,3,FALSE)</f>
        <v>14895</v>
      </c>
      <c r="E7" s="34">
        <f>VLOOKUP($B7,dados!$D$4:$G$500,4,FALSE)</f>
        <v>5405</v>
      </c>
    </row>
    <row r="8" spans="1:5" s="31" customFormat="1" ht="12.75" x14ac:dyDescent="0.2">
      <c r="A8" s="35">
        <f t="shared" ref="A8:A81" si="1">YEAR(B8)</f>
        <v>1998</v>
      </c>
      <c r="B8" s="39">
        <v>35827</v>
      </c>
      <c r="C8" s="33">
        <f>VLOOKUP($B8,dados!$D$4:$G$500,2,FALSE)</f>
        <v>30122</v>
      </c>
      <c r="D8" s="33">
        <f>VLOOKUP($B8,dados!$D$4:$G$500,3,FALSE)</f>
        <v>12251</v>
      </c>
      <c r="E8" s="34">
        <f>VLOOKUP($B8,dados!$D$4:$G$500,4,FALSE)</f>
        <v>5996</v>
      </c>
    </row>
    <row r="9" spans="1:5" s="31" customFormat="1" ht="12.75" x14ac:dyDescent="0.2">
      <c r="A9" s="35">
        <f t="shared" si="1"/>
        <v>1998</v>
      </c>
      <c r="B9" s="39">
        <v>35855</v>
      </c>
      <c r="C9" s="33">
        <f>VLOOKUP($B9,dados!$D$4:$G$500,2,FALSE)</f>
        <v>25516</v>
      </c>
      <c r="D9" s="33">
        <f>VLOOKUP($B9,dados!$D$4:$G$500,3,FALSE)</f>
        <v>11457</v>
      </c>
      <c r="E9" s="34">
        <f>VLOOKUP($B9,dados!$D$4:$G$500,4,FALSE)</f>
        <v>5422</v>
      </c>
    </row>
    <row r="10" spans="1:5" s="31" customFormat="1" ht="12.75" x14ac:dyDescent="0.2">
      <c r="A10" s="35">
        <f t="shared" si="1"/>
        <v>1998</v>
      </c>
      <c r="B10" s="39">
        <v>35886</v>
      </c>
      <c r="C10" s="33">
        <f>VLOOKUP($B10,dados!$D$4:$G$500,2,FALSE)</f>
        <v>31850</v>
      </c>
      <c r="D10" s="33">
        <f>VLOOKUP($B10,dados!$D$4:$G$500,3,FALSE)</f>
        <v>13647</v>
      </c>
      <c r="E10" s="34">
        <f>VLOOKUP($B10,dados!$D$4:$G$500,4,FALSE)</f>
        <v>6232</v>
      </c>
    </row>
    <row r="11" spans="1:5" s="31" customFormat="1" ht="12.75" x14ac:dyDescent="0.2">
      <c r="A11" s="35">
        <f t="shared" si="1"/>
        <v>1998</v>
      </c>
      <c r="B11" s="39">
        <v>35916</v>
      </c>
      <c r="C11" s="33">
        <f>VLOOKUP($B11,dados!$D$4:$G$500,2,FALSE)</f>
        <v>28953</v>
      </c>
      <c r="D11" s="33">
        <f>VLOOKUP($B11,dados!$D$4:$G$500,3,FALSE)</f>
        <v>12981</v>
      </c>
      <c r="E11" s="34">
        <f>VLOOKUP($B11,dados!$D$4:$G$500,4,FALSE)</f>
        <v>5765</v>
      </c>
    </row>
    <row r="12" spans="1:5" s="31" customFormat="1" ht="12.75" x14ac:dyDescent="0.2">
      <c r="A12" s="35">
        <f t="shared" si="1"/>
        <v>1998</v>
      </c>
      <c r="B12" s="39">
        <v>35947</v>
      </c>
      <c r="C12" s="33">
        <f>VLOOKUP($B12,dados!$D$4:$G$500,2,FALSE)</f>
        <v>20242</v>
      </c>
      <c r="D12" s="33">
        <f>VLOOKUP($B12,dados!$D$4:$G$500,3,FALSE)</f>
        <v>9198</v>
      </c>
      <c r="E12" s="34">
        <f>VLOOKUP($B12,dados!$D$4:$G$500,4,FALSE)</f>
        <v>6364</v>
      </c>
    </row>
    <row r="13" spans="1:5" s="31" customFormat="1" ht="12.75" x14ac:dyDescent="0.2">
      <c r="A13" s="35">
        <f t="shared" si="1"/>
        <v>1998</v>
      </c>
      <c r="B13" s="39">
        <v>35977</v>
      </c>
      <c r="C13" s="33">
        <f>VLOOKUP($B13,dados!$D$4:$G$500,2,FALSE)</f>
        <v>21433</v>
      </c>
      <c r="D13" s="33">
        <f>VLOOKUP($B13,dados!$D$4:$G$500,3,FALSE)</f>
        <v>9683</v>
      </c>
      <c r="E13" s="34">
        <f>VLOOKUP($B13,dados!$D$4:$G$500,4,FALSE)</f>
        <v>5673</v>
      </c>
    </row>
    <row r="14" spans="1:5" s="31" customFormat="1" ht="12.75" x14ac:dyDescent="0.2">
      <c r="A14" s="35">
        <f t="shared" si="1"/>
        <v>1998</v>
      </c>
      <c r="B14" s="39">
        <v>36008</v>
      </c>
      <c r="C14" s="33">
        <f>VLOOKUP($B14,dados!$D$4:$G$500,2,FALSE)</f>
        <v>28224</v>
      </c>
      <c r="D14" s="33">
        <f>VLOOKUP($B14,dados!$D$4:$G$500,3,FALSE)</f>
        <v>12641</v>
      </c>
      <c r="E14" s="34">
        <f>VLOOKUP($B14,dados!$D$4:$G$500,4,FALSE)</f>
        <v>5374</v>
      </c>
    </row>
    <row r="15" spans="1:5" s="31" customFormat="1" ht="12.75" x14ac:dyDescent="0.2">
      <c r="A15" s="35">
        <f t="shared" si="1"/>
        <v>1998</v>
      </c>
      <c r="B15" s="39">
        <v>36039</v>
      </c>
      <c r="C15" s="33">
        <f>VLOOKUP($B15,dados!$D$4:$G$500,2,FALSE)</f>
        <v>27262</v>
      </c>
      <c r="D15" s="33">
        <f>VLOOKUP($B15,dados!$D$4:$G$500,3,FALSE)</f>
        <v>12234</v>
      </c>
      <c r="E15" s="34">
        <f>VLOOKUP($B15,dados!$D$4:$G$500,4,FALSE)</f>
        <v>5625</v>
      </c>
    </row>
    <row r="16" spans="1:5" s="31" customFormat="1" ht="12.75" x14ac:dyDescent="0.2">
      <c r="A16" s="35">
        <f t="shared" si="1"/>
        <v>1998</v>
      </c>
      <c r="B16" s="39">
        <v>36069</v>
      </c>
      <c r="C16" s="33">
        <f>VLOOKUP($B16,dados!$D$4:$G$500,2,FALSE)</f>
        <v>23115</v>
      </c>
      <c r="D16" s="33">
        <f>VLOOKUP($B16,dados!$D$4:$G$500,3,FALSE)</f>
        <v>10409</v>
      </c>
      <c r="E16" s="34">
        <f>VLOOKUP($B16,dados!$D$4:$G$500,4,FALSE)</f>
        <v>5467</v>
      </c>
    </row>
    <row r="17" spans="1:5" s="31" customFormat="1" ht="12.75" x14ac:dyDescent="0.2">
      <c r="A17" s="35">
        <f t="shared" si="1"/>
        <v>1998</v>
      </c>
      <c r="B17" s="39">
        <v>36100</v>
      </c>
      <c r="C17" s="33">
        <f>VLOOKUP($B17,dados!$D$4:$G$500,2,FALSE)</f>
        <v>24918</v>
      </c>
      <c r="D17" s="33">
        <f>VLOOKUP($B17,dados!$D$4:$G$500,3,FALSE)</f>
        <v>11196</v>
      </c>
      <c r="E17" s="34">
        <f>VLOOKUP($B17,dados!$D$4:$G$500,4,FALSE)</f>
        <v>5433</v>
      </c>
    </row>
    <row r="18" spans="1:5" s="31" customFormat="1" ht="12.75" x14ac:dyDescent="0.2">
      <c r="A18" s="35">
        <f t="shared" si="1"/>
        <v>1998</v>
      </c>
      <c r="B18" s="39">
        <v>36130</v>
      </c>
      <c r="C18" s="33">
        <f>VLOOKUP($B18,dados!$D$4:$G$500,2,FALSE)</f>
        <v>24929</v>
      </c>
      <c r="D18" s="33">
        <f>VLOOKUP($B18,dados!$D$4:$G$500,3,FALSE)</f>
        <v>11214</v>
      </c>
      <c r="E18" s="34">
        <f>VLOOKUP($B18,dados!$D$4:$G$500,4,FALSE)</f>
        <v>5686</v>
      </c>
    </row>
    <row r="19" spans="1:5" s="31" customFormat="1" ht="12.75" x14ac:dyDescent="0.2">
      <c r="A19" s="35"/>
      <c r="B19" s="39"/>
      <c r="C19" s="33"/>
      <c r="D19" s="33"/>
      <c r="E19" s="34"/>
    </row>
    <row r="20" spans="1:5" s="31" customFormat="1" ht="12.75" x14ac:dyDescent="0.2">
      <c r="A20" s="51">
        <f>A21</f>
        <v>1999</v>
      </c>
      <c r="B20" s="43" t="s">
        <v>29</v>
      </c>
      <c r="C20" s="41">
        <f>SUM(C21:C32)</f>
        <v>354581.76999999996</v>
      </c>
      <c r="D20" s="41">
        <f t="shared" ref="D20" si="2">SUM(D21:D32)</f>
        <v>157054.99</v>
      </c>
      <c r="E20" s="42">
        <f t="shared" ref="E20" si="3">SUM(E21:E32)</f>
        <v>70345.34</v>
      </c>
    </row>
    <row r="21" spans="1:5" s="31" customFormat="1" ht="12.75" x14ac:dyDescent="0.2">
      <c r="A21" s="35">
        <f t="shared" si="1"/>
        <v>1999</v>
      </c>
      <c r="B21" s="39">
        <v>36161</v>
      </c>
      <c r="C21" s="33">
        <f>VLOOKUP($B21,dados!$D$4:$G$500,2,FALSE)</f>
        <v>32655.58</v>
      </c>
      <c r="D21" s="33">
        <f>VLOOKUP($B21,dados!$D$4:$G$500,3,FALSE)</f>
        <v>14532.43</v>
      </c>
      <c r="E21" s="34">
        <f>VLOOKUP($B21,dados!$D$4:$G$500,4,FALSE)</f>
        <v>5297.09</v>
      </c>
    </row>
    <row r="22" spans="1:5" s="32" customFormat="1" ht="12.75" x14ac:dyDescent="0.2">
      <c r="A22" s="35">
        <f t="shared" si="1"/>
        <v>1999</v>
      </c>
      <c r="B22" s="39">
        <v>36192</v>
      </c>
      <c r="C22" s="33">
        <f>VLOOKUP($B22,dados!$D$4:$G$500,2,FALSE)</f>
        <v>33408.17</v>
      </c>
      <c r="D22" s="33">
        <f>VLOOKUP($B22,dados!$D$4:$G$500,3,FALSE)</f>
        <v>14754.33</v>
      </c>
      <c r="E22" s="34">
        <f>VLOOKUP($B22,dados!$D$4:$G$500,4,FALSE)</f>
        <v>6228.58</v>
      </c>
    </row>
    <row r="23" spans="1:5" s="31" customFormat="1" ht="12.75" x14ac:dyDescent="0.2">
      <c r="A23" s="35">
        <f t="shared" si="1"/>
        <v>1999</v>
      </c>
      <c r="B23" s="39">
        <v>36220</v>
      </c>
      <c r="C23" s="33">
        <f>VLOOKUP($B23,dados!$D$4:$G$500,2,FALSE)</f>
        <v>34329.96</v>
      </c>
      <c r="D23" s="33">
        <f>VLOOKUP($B23,dados!$D$4:$G$500,3,FALSE)</f>
        <v>15084.45</v>
      </c>
      <c r="E23" s="34">
        <f>VLOOKUP($B23,dados!$D$4:$G$500,4,FALSE)</f>
        <v>5247.67</v>
      </c>
    </row>
    <row r="24" spans="1:5" s="31" customFormat="1" ht="12.75" x14ac:dyDescent="0.2">
      <c r="A24" s="35">
        <f t="shared" si="1"/>
        <v>1999</v>
      </c>
      <c r="B24" s="39">
        <v>36251</v>
      </c>
      <c r="C24" s="33">
        <f>VLOOKUP($B24,dados!$D$4:$G$500,2,FALSE)</f>
        <v>31043.09</v>
      </c>
      <c r="D24" s="33">
        <f>VLOOKUP($B24,dados!$D$4:$G$500,3,FALSE)</f>
        <v>13694.62</v>
      </c>
      <c r="E24" s="34">
        <f>VLOOKUP($B24,dados!$D$4:$G$500,4,FALSE)</f>
        <v>5549.35</v>
      </c>
    </row>
    <row r="25" spans="1:5" s="31" customFormat="1" ht="12.75" x14ac:dyDescent="0.2">
      <c r="A25" s="35">
        <f t="shared" si="1"/>
        <v>1999</v>
      </c>
      <c r="B25" s="39">
        <v>36281</v>
      </c>
      <c r="C25" s="33">
        <f>VLOOKUP($B25,dados!$D$4:$G$500,2,FALSE)</f>
        <v>33616.97</v>
      </c>
      <c r="D25" s="33">
        <f>VLOOKUP($B25,dados!$D$4:$G$500,3,FALSE)</f>
        <v>14789.19</v>
      </c>
      <c r="E25" s="34">
        <f>VLOOKUP($B25,dados!$D$4:$G$500,4,FALSE)</f>
        <v>5397.04</v>
      </c>
    </row>
    <row r="26" spans="1:5" s="31" customFormat="1" ht="12.75" x14ac:dyDescent="0.2">
      <c r="A26" s="35">
        <f t="shared" si="1"/>
        <v>1999</v>
      </c>
      <c r="B26" s="39">
        <v>36312</v>
      </c>
      <c r="C26" s="33">
        <f>VLOOKUP($B26,dados!$D$4:$G$500,2,FALSE)</f>
        <v>22158.09</v>
      </c>
      <c r="D26" s="33">
        <f>VLOOKUP($B26,dados!$D$4:$G$500,3,FALSE)</f>
        <v>9879.7000000000007</v>
      </c>
      <c r="E26" s="34">
        <f>VLOOKUP($B26,dados!$D$4:$G$500,4,FALSE)</f>
        <v>5525.93</v>
      </c>
    </row>
    <row r="27" spans="1:5" s="31" customFormat="1" ht="12.75" x14ac:dyDescent="0.2">
      <c r="A27" s="35">
        <f t="shared" si="1"/>
        <v>1999</v>
      </c>
      <c r="B27" s="39">
        <v>36342</v>
      </c>
      <c r="C27" s="33">
        <f>VLOOKUP($B27,dados!$D$4:$G$500,2,FALSE)</f>
        <v>22075.31</v>
      </c>
      <c r="D27" s="33">
        <f>VLOOKUP($B27,dados!$D$4:$G$500,3,FALSE)</f>
        <v>9826.51</v>
      </c>
      <c r="E27" s="34">
        <f>VLOOKUP($B27,dados!$D$4:$G$500,4,FALSE)</f>
        <v>5259.28</v>
      </c>
    </row>
    <row r="28" spans="1:5" s="31" customFormat="1" ht="12.75" x14ac:dyDescent="0.2">
      <c r="A28" s="35">
        <f t="shared" si="1"/>
        <v>1999</v>
      </c>
      <c r="B28" s="39">
        <v>36373</v>
      </c>
      <c r="C28" s="33">
        <f>VLOOKUP($B28,dados!$D$4:$G$500,2,FALSE)</f>
        <v>27625.58</v>
      </c>
      <c r="D28" s="33">
        <f>VLOOKUP($B28,dados!$D$4:$G$500,3,FALSE)</f>
        <v>12256.63</v>
      </c>
      <c r="E28" s="34">
        <f>VLOOKUP($B28,dados!$D$4:$G$500,4,FALSE)</f>
        <v>5973.76</v>
      </c>
    </row>
    <row r="29" spans="1:5" s="31" customFormat="1" ht="12.75" x14ac:dyDescent="0.2">
      <c r="A29" s="35">
        <f t="shared" si="1"/>
        <v>1999</v>
      </c>
      <c r="B29" s="39">
        <v>36404</v>
      </c>
      <c r="C29" s="33">
        <f>VLOOKUP($B29,dados!$D$4:$G$500,2,FALSE)</f>
        <v>25785.82</v>
      </c>
      <c r="D29" s="33">
        <f>VLOOKUP($B29,dados!$D$4:$G$500,3,FALSE)</f>
        <v>11437.02</v>
      </c>
      <c r="E29" s="34">
        <f>VLOOKUP($B29,dados!$D$4:$G$500,4,FALSE)</f>
        <v>5505.81</v>
      </c>
    </row>
    <row r="30" spans="1:5" s="31" customFormat="1" ht="12.75" x14ac:dyDescent="0.2">
      <c r="A30" s="35">
        <f t="shared" si="1"/>
        <v>1999</v>
      </c>
      <c r="B30" s="39">
        <v>36434</v>
      </c>
      <c r="C30" s="33">
        <f>VLOOKUP($B30,dados!$D$4:$G$500,2,FALSE)</f>
        <v>30735.99</v>
      </c>
      <c r="D30" s="33">
        <f>VLOOKUP($B30,dados!$D$4:$G$500,3,FALSE)</f>
        <v>13625.12</v>
      </c>
      <c r="E30" s="34">
        <f>VLOOKUP($B30,dados!$D$4:$G$500,4,FALSE)</f>
        <v>6437.14</v>
      </c>
    </row>
    <row r="31" spans="1:5" s="31" customFormat="1" ht="12.75" x14ac:dyDescent="0.2">
      <c r="A31" s="35">
        <f t="shared" si="1"/>
        <v>1999</v>
      </c>
      <c r="B31" s="39">
        <v>36465</v>
      </c>
      <c r="C31" s="33">
        <f>VLOOKUP($B31,dados!$D$4:$G$500,2,FALSE)</f>
        <v>29101.66</v>
      </c>
      <c r="D31" s="33">
        <f>VLOOKUP($B31,dados!$D$4:$G$500,3,FALSE)</f>
        <v>12946.37</v>
      </c>
      <c r="E31" s="34">
        <f>VLOOKUP($B31,dados!$D$4:$G$500,4,FALSE)</f>
        <v>6820.54</v>
      </c>
    </row>
    <row r="32" spans="1:5" s="31" customFormat="1" ht="12.75" x14ac:dyDescent="0.2">
      <c r="A32" s="35">
        <f t="shared" si="1"/>
        <v>1999</v>
      </c>
      <c r="B32" s="39">
        <v>36495</v>
      </c>
      <c r="C32" s="33">
        <f>VLOOKUP($B32,dados!$D$4:$G$500,2,FALSE)</f>
        <v>32045.55</v>
      </c>
      <c r="D32" s="33">
        <f>VLOOKUP($B32,dados!$D$4:$G$500,3,FALSE)</f>
        <v>14228.62</v>
      </c>
      <c r="E32" s="34">
        <f>VLOOKUP($B32,dados!$D$4:$G$500,4,FALSE)</f>
        <v>7103.15</v>
      </c>
    </row>
    <row r="33" spans="1:5" s="31" customFormat="1" ht="12.75" x14ac:dyDescent="0.2">
      <c r="A33" s="35"/>
      <c r="B33" s="39"/>
      <c r="C33" s="33"/>
      <c r="D33" s="33"/>
      <c r="E33" s="34"/>
    </row>
    <row r="34" spans="1:5" s="31" customFormat="1" ht="12.75" x14ac:dyDescent="0.2">
      <c r="A34" s="51">
        <f>A35</f>
        <v>2000</v>
      </c>
      <c r="B34" s="43" t="s">
        <v>29</v>
      </c>
      <c r="C34" s="41">
        <f>SUM(C35:C46)</f>
        <v>387684.23</v>
      </c>
      <c r="D34" s="41">
        <f t="shared" ref="D34" si="4">SUM(D35:D46)</f>
        <v>186111.63</v>
      </c>
      <c r="E34" s="42">
        <f t="shared" ref="E34" si="5">SUM(E35:E46)</f>
        <v>83629.16</v>
      </c>
    </row>
    <row r="35" spans="1:5" s="31" customFormat="1" ht="12.75" x14ac:dyDescent="0.2">
      <c r="A35" s="35">
        <f t="shared" si="1"/>
        <v>2000</v>
      </c>
      <c r="B35" s="39">
        <v>36526</v>
      </c>
      <c r="C35" s="33">
        <f>VLOOKUP($B35,dados!$D$4:$G$500,2,FALSE)</f>
        <v>34784.78</v>
      </c>
      <c r="D35" s="33">
        <f>VLOOKUP($B35,dados!$D$4:$G$500,3,FALSE)</f>
        <v>16063.91</v>
      </c>
      <c r="E35" s="34">
        <f>VLOOKUP($B35,dados!$D$4:$G$500,4,FALSE)</f>
        <v>5713.09</v>
      </c>
    </row>
    <row r="36" spans="1:5" s="31" customFormat="1" ht="12.75" x14ac:dyDescent="0.2">
      <c r="A36" s="35">
        <f t="shared" si="1"/>
        <v>2000</v>
      </c>
      <c r="B36" s="39">
        <v>36557</v>
      </c>
      <c r="C36" s="33">
        <f>VLOOKUP($B36,dados!$D$4:$G$500,2,FALSE)</f>
        <v>31622.51</v>
      </c>
      <c r="D36" s="33">
        <f>VLOOKUP($B36,dados!$D$4:$G$500,3,FALSE)</f>
        <v>15237.63</v>
      </c>
      <c r="E36" s="34">
        <f>VLOOKUP($B36,dados!$D$4:$G$500,4,FALSE)</f>
        <v>6687.61</v>
      </c>
    </row>
    <row r="37" spans="1:5" s="31" customFormat="1" ht="12.75" x14ac:dyDescent="0.2">
      <c r="A37" s="35">
        <f t="shared" si="1"/>
        <v>2000</v>
      </c>
      <c r="B37" s="39">
        <v>36586</v>
      </c>
      <c r="C37" s="33">
        <f>VLOOKUP($B37,dados!$D$4:$G$500,2,FALSE)</f>
        <v>34448.07</v>
      </c>
      <c r="D37" s="33">
        <f>VLOOKUP($B37,dados!$D$4:$G$500,3,FALSE)</f>
        <v>16599.16</v>
      </c>
      <c r="E37" s="34">
        <f>VLOOKUP($B37,dados!$D$4:$G$500,4,FALSE)</f>
        <v>5657.13</v>
      </c>
    </row>
    <row r="38" spans="1:5" s="32" customFormat="1" ht="12.75" x14ac:dyDescent="0.2">
      <c r="A38" s="35">
        <f t="shared" si="1"/>
        <v>2000</v>
      </c>
      <c r="B38" s="39">
        <v>36617</v>
      </c>
      <c r="C38" s="33">
        <f>VLOOKUP($B38,dados!$D$4:$G$500,2,FALSE)</f>
        <v>35730</v>
      </c>
      <c r="D38" s="33">
        <f>VLOOKUP($B38,dados!$D$4:$G$500,3,FALSE)</f>
        <v>17216.88</v>
      </c>
      <c r="E38" s="34">
        <f>VLOOKUP($B38,dados!$D$4:$G$500,4,FALSE)</f>
        <v>6955.78</v>
      </c>
    </row>
    <row r="39" spans="1:5" s="31" customFormat="1" ht="12.75" x14ac:dyDescent="0.2">
      <c r="A39" s="35">
        <f t="shared" si="1"/>
        <v>2000</v>
      </c>
      <c r="B39" s="39">
        <v>36647</v>
      </c>
      <c r="C39" s="33">
        <f>VLOOKUP($B39,dados!$D$4:$G$500,2,FALSE)</f>
        <v>34175</v>
      </c>
      <c r="D39" s="33">
        <f>VLOOKUP($B39,dados!$D$4:$G$500,3,FALSE)</f>
        <v>16467.68</v>
      </c>
      <c r="E39" s="34">
        <f>VLOOKUP($B39,dados!$D$4:$G$500,4,FALSE)</f>
        <v>6505.33</v>
      </c>
    </row>
    <row r="40" spans="1:5" s="31" customFormat="1" ht="12.75" x14ac:dyDescent="0.2">
      <c r="A40" s="35">
        <f t="shared" si="1"/>
        <v>2000</v>
      </c>
      <c r="B40" s="39">
        <v>36678</v>
      </c>
      <c r="C40" s="33">
        <f>VLOOKUP($B40,dados!$D$4:$G$500,2,FALSE)</f>
        <v>27721</v>
      </c>
      <c r="D40" s="33">
        <f>VLOOKUP($B40,dados!$D$4:$G$500,3,FALSE)</f>
        <v>13357</v>
      </c>
      <c r="E40" s="34">
        <f>VLOOKUP($B40,dados!$D$4:$G$500,4,FALSE)</f>
        <v>6968</v>
      </c>
    </row>
    <row r="41" spans="1:5" s="31" customFormat="1" ht="12.75" x14ac:dyDescent="0.2">
      <c r="A41" s="35">
        <f t="shared" si="1"/>
        <v>2000</v>
      </c>
      <c r="B41" s="39">
        <v>36708</v>
      </c>
      <c r="C41" s="33">
        <f>VLOOKUP($B41,dados!$D$4:$G$500,2,FALSE)</f>
        <v>26373</v>
      </c>
      <c r="D41" s="33">
        <f>VLOOKUP($B41,dados!$D$4:$G$500,3,FALSE)</f>
        <v>12708</v>
      </c>
      <c r="E41" s="34">
        <f>VLOOKUP($B41,dados!$D$4:$G$500,4,FALSE)</f>
        <v>6621</v>
      </c>
    </row>
    <row r="42" spans="1:5" s="31" customFormat="1" ht="12.75" x14ac:dyDescent="0.2">
      <c r="A42" s="35">
        <f t="shared" si="1"/>
        <v>2000</v>
      </c>
      <c r="B42" s="39">
        <v>36739</v>
      </c>
      <c r="C42" s="33">
        <f>VLOOKUP($B42,dados!$D$4:$G$500,2,FALSE)</f>
        <v>29405</v>
      </c>
      <c r="D42" s="33">
        <f>VLOOKUP($B42,dados!$D$4:$G$500,3,FALSE)</f>
        <v>14169</v>
      </c>
      <c r="E42" s="34">
        <f>VLOOKUP($B42,dados!$D$4:$G$500,4,FALSE)</f>
        <v>7240</v>
      </c>
    </row>
    <row r="43" spans="1:5" s="31" customFormat="1" ht="12.75" x14ac:dyDescent="0.2">
      <c r="A43" s="35">
        <f t="shared" si="1"/>
        <v>2000</v>
      </c>
      <c r="B43" s="39">
        <v>36770</v>
      </c>
      <c r="C43" s="33">
        <f>VLOOKUP($B43,dados!$D$4:$G$500,2,FALSE)</f>
        <v>29650</v>
      </c>
      <c r="D43" s="33">
        <f>VLOOKUP($B43,dados!$D$4:$G$500,3,FALSE)</f>
        <v>14287</v>
      </c>
      <c r="E43" s="34">
        <f>VLOOKUP($B43,dados!$D$4:$G$500,4,FALSE)</f>
        <v>7240</v>
      </c>
    </row>
    <row r="44" spans="1:5" s="31" customFormat="1" ht="12.75" x14ac:dyDescent="0.2">
      <c r="A44" s="35">
        <f t="shared" si="1"/>
        <v>2000</v>
      </c>
      <c r="B44" s="39">
        <v>36800</v>
      </c>
      <c r="C44" s="33">
        <f>VLOOKUP($B44,dados!$D$4:$G$500,2,FALSE)</f>
        <v>31349</v>
      </c>
      <c r="D44" s="33">
        <f>VLOOKUP($B44,dados!$D$4:$G$500,3,FALSE)</f>
        <v>15106</v>
      </c>
      <c r="E44" s="34">
        <f>VLOOKUP($B44,dados!$D$4:$G$500,4,FALSE)</f>
        <v>7802</v>
      </c>
    </row>
    <row r="45" spans="1:5" s="31" customFormat="1" ht="12.75" x14ac:dyDescent="0.2">
      <c r="A45" s="35">
        <f t="shared" si="1"/>
        <v>2000</v>
      </c>
      <c r="B45" s="39">
        <v>36831</v>
      </c>
      <c r="C45" s="33">
        <f>VLOOKUP($B45,dados!$D$4:$G$500,2,FALSE)</f>
        <v>34026</v>
      </c>
      <c r="D45" s="33">
        <f>VLOOKUP($B45,dados!$D$4:$G$500,3,FALSE)</f>
        <v>16396</v>
      </c>
      <c r="E45" s="34">
        <f>VLOOKUP($B45,dados!$D$4:$G$500,4,FALSE)</f>
        <v>8080</v>
      </c>
    </row>
    <row r="46" spans="1:5" s="31" customFormat="1" ht="12.75" x14ac:dyDescent="0.2">
      <c r="A46" s="35">
        <f t="shared" si="1"/>
        <v>2000</v>
      </c>
      <c r="B46" s="39">
        <v>36861</v>
      </c>
      <c r="C46" s="33">
        <f>VLOOKUP($B46,dados!$D$4:$G$500,2,FALSE)</f>
        <v>38399.870000000003</v>
      </c>
      <c r="D46" s="33">
        <f>VLOOKUP($B46,dados!$D$4:$G$500,3,FALSE)</f>
        <v>18503.37</v>
      </c>
      <c r="E46" s="34">
        <f>VLOOKUP($B46,dados!$D$4:$G$500,4,FALSE)</f>
        <v>8159.22</v>
      </c>
    </row>
    <row r="47" spans="1:5" s="31" customFormat="1" ht="12.75" x14ac:dyDescent="0.2">
      <c r="A47" s="35"/>
      <c r="B47" s="39"/>
      <c r="C47" s="33"/>
      <c r="D47" s="33"/>
      <c r="E47" s="34"/>
    </row>
    <row r="48" spans="1:5" s="31" customFormat="1" ht="12.75" x14ac:dyDescent="0.2">
      <c r="A48" s="51">
        <f>A49</f>
        <v>2001</v>
      </c>
      <c r="B48" s="43" t="s">
        <v>29</v>
      </c>
      <c r="C48" s="41">
        <f>SUM(C49:C60)</f>
        <v>455233</v>
      </c>
      <c r="D48" s="41">
        <f t="shared" ref="D48" si="6">SUM(D49:D60)</f>
        <v>219019</v>
      </c>
      <c r="E48" s="42">
        <f t="shared" ref="E48" si="7">SUM(E49:E60)</f>
        <v>82562</v>
      </c>
    </row>
    <row r="49" spans="1:5" s="31" customFormat="1" ht="12.75" x14ac:dyDescent="0.2">
      <c r="A49" s="35">
        <f t="shared" si="1"/>
        <v>2001</v>
      </c>
      <c r="B49" s="39">
        <v>36892</v>
      </c>
      <c r="C49" s="33">
        <f>VLOOKUP($B49,dados!$D$4:$G$500,2,FALSE)</f>
        <v>44755</v>
      </c>
      <c r="D49" s="33">
        <f>VLOOKUP($B49,dados!$D$4:$G$500,3,FALSE)</f>
        <v>21488</v>
      </c>
      <c r="E49" s="34">
        <f>VLOOKUP($B49,dados!$D$4:$G$500,4,FALSE)</f>
        <v>6738</v>
      </c>
    </row>
    <row r="50" spans="1:5" s="31" customFormat="1" ht="12.75" x14ac:dyDescent="0.2">
      <c r="A50" s="35">
        <f t="shared" si="1"/>
        <v>2001</v>
      </c>
      <c r="B50" s="39">
        <v>36923</v>
      </c>
      <c r="C50" s="33">
        <f>VLOOKUP($B50,dados!$D$4:$G$500,2,FALSE)</f>
        <v>36466</v>
      </c>
      <c r="D50" s="33">
        <f>VLOOKUP($B50,dados!$D$4:$G$500,3,FALSE)</f>
        <v>17508</v>
      </c>
      <c r="E50" s="34">
        <f>VLOOKUP($B50,dados!$D$4:$G$500,4,FALSE)</f>
        <v>6533</v>
      </c>
    </row>
    <row r="51" spans="1:5" s="31" customFormat="1" ht="12.75" x14ac:dyDescent="0.2">
      <c r="A51" s="35">
        <f t="shared" si="1"/>
        <v>2001</v>
      </c>
      <c r="B51" s="39">
        <v>36951</v>
      </c>
      <c r="C51" s="33">
        <f>VLOOKUP($B51,dados!$D$4:$G$500,2,FALSE)</f>
        <v>31965</v>
      </c>
      <c r="D51" s="33">
        <f>VLOOKUP($B51,dados!$D$4:$G$500,3,FALSE)</f>
        <v>15353</v>
      </c>
      <c r="E51" s="34">
        <f>VLOOKUP($B51,dados!$D$4:$G$500,4,FALSE)</f>
        <v>6214</v>
      </c>
    </row>
    <row r="52" spans="1:5" s="31" customFormat="1" ht="12.75" x14ac:dyDescent="0.2">
      <c r="A52" s="35">
        <f t="shared" si="1"/>
        <v>2001</v>
      </c>
      <c r="B52" s="39">
        <v>36982</v>
      </c>
      <c r="C52" s="33">
        <f>VLOOKUP($B52,dados!$D$4:$G$500,2,FALSE)</f>
        <v>37534</v>
      </c>
      <c r="D52" s="33">
        <f>VLOOKUP($B52,dados!$D$4:$G$500,3,FALSE)</f>
        <v>18058</v>
      </c>
      <c r="E52" s="34">
        <f>VLOOKUP($B52,dados!$D$4:$G$500,4,FALSE)</f>
        <v>7078</v>
      </c>
    </row>
    <row r="53" spans="1:5" s="31" customFormat="1" ht="12.75" x14ac:dyDescent="0.2">
      <c r="A53" s="35">
        <f t="shared" si="1"/>
        <v>2001</v>
      </c>
      <c r="B53" s="39">
        <v>37012</v>
      </c>
      <c r="C53" s="33">
        <f>VLOOKUP($B53,dados!$D$4:$G$500,2,FALSE)</f>
        <v>42202</v>
      </c>
      <c r="D53" s="33">
        <f>VLOOKUP($B53,dados!$D$4:$G$500,3,FALSE)</f>
        <v>20303</v>
      </c>
      <c r="E53" s="34">
        <f>VLOOKUP($B53,dados!$D$4:$G$500,4,FALSE)</f>
        <v>7107</v>
      </c>
    </row>
    <row r="54" spans="1:5" s="32" customFormat="1" ht="12.75" x14ac:dyDescent="0.2">
      <c r="A54" s="35">
        <f t="shared" si="1"/>
        <v>2001</v>
      </c>
      <c r="B54" s="39">
        <v>37043</v>
      </c>
      <c r="C54" s="33">
        <f>VLOOKUP($B54,dados!$D$4:$G$500,2,FALSE)</f>
        <v>36616</v>
      </c>
      <c r="D54" s="33">
        <f>VLOOKUP($B54,dados!$D$4:$G$500,3,FALSE)</f>
        <v>17616</v>
      </c>
      <c r="E54" s="34">
        <f>VLOOKUP($B54,dados!$D$4:$G$500,4,FALSE)</f>
        <v>8357</v>
      </c>
    </row>
    <row r="55" spans="1:5" s="31" customFormat="1" ht="12.75" x14ac:dyDescent="0.2">
      <c r="A55" s="35">
        <f t="shared" si="1"/>
        <v>2001</v>
      </c>
      <c r="B55" s="39">
        <v>37073</v>
      </c>
      <c r="C55" s="33">
        <f>VLOOKUP($B55,dados!$D$4:$G$500,2,FALSE)</f>
        <v>33336</v>
      </c>
      <c r="D55" s="33">
        <f>VLOOKUP($B55,dados!$D$4:$G$500,3,FALSE)</f>
        <v>16025</v>
      </c>
      <c r="E55" s="34">
        <f>VLOOKUP($B55,dados!$D$4:$G$500,4,FALSE)</f>
        <v>6760</v>
      </c>
    </row>
    <row r="56" spans="1:5" s="31" customFormat="1" ht="12.75" x14ac:dyDescent="0.2">
      <c r="A56" s="35">
        <f t="shared" si="1"/>
        <v>2001</v>
      </c>
      <c r="B56" s="39">
        <v>37104</v>
      </c>
      <c r="C56" s="33">
        <f>VLOOKUP($B56,dados!$D$4:$G$500,2,FALSE)</f>
        <v>35052</v>
      </c>
      <c r="D56" s="33">
        <f>VLOOKUP($B56,dados!$D$4:$G$500,3,FALSE)</f>
        <v>16871</v>
      </c>
      <c r="E56" s="34">
        <f>VLOOKUP($B56,dados!$D$4:$G$500,4,FALSE)</f>
        <v>6889</v>
      </c>
    </row>
    <row r="57" spans="1:5" s="31" customFormat="1" ht="12.75" x14ac:dyDescent="0.2">
      <c r="A57" s="35">
        <f t="shared" si="1"/>
        <v>2001</v>
      </c>
      <c r="B57" s="39">
        <v>37135</v>
      </c>
      <c r="C57" s="33">
        <f>VLOOKUP($B57,dados!$D$4:$G$500,2,FALSE)</f>
        <v>37872</v>
      </c>
      <c r="D57" s="33">
        <f>VLOOKUP($B57,dados!$D$4:$G$500,3,FALSE)</f>
        <v>18248</v>
      </c>
      <c r="E57" s="34">
        <f>VLOOKUP($B57,dados!$D$4:$G$500,4,FALSE)</f>
        <v>6642</v>
      </c>
    </row>
    <row r="58" spans="1:5" s="31" customFormat="1" ht="12.75" x14ac:dyDescent="0.2">
      <c r="A58" s="35">
        <f t="shared" si="1"/>
        <v>2001</v>
      </c>
      <c r="B58" s="39">
        <v>37165</v>
      </c>
      <c r="C58" s="33">
        <f>VLOOKUP($B58,dados!$D$4:$G$500,2,FALSE)</f>
        <v>36194</v>
      </c>
      <c r="D58" s="33">
        <f>VLOOKUP($B58,dados!$D$4:$G$500,3,FALSE)</f>
        <v>17440</v>
      </c>
      <c r="E58" s="34">
        <f>VLOOKUP($B58,dados!$D$4:$G$500,4,FALSE)</f>
        <v>6743</v>
      </c>
    </row>
    <row r="59" spans="1:5" s="31" customFormat="1" ht="12.75" x14ac:dyDescent="0.2">
      <c r="A59" s="35">
        <f t="shared" si="1"/>
        <v>2001</v>
      </c>
      <c r="B59" s="39">
        <v>37196</v>
      </c>
      <c r="C59" s="33">
        <f>VLOOKUP($B59,dados!$D$4:$G$500,2,FALSE)</f>
        <v>37618</v>
      </c>
      <c r="D59" s="33">
        <f>VLOOKUP($B59,dados!$D$4:$G$500,3,FALSE)</f>
        <v>18126</v>
      </c>
      <c r="E59" s="34">
        <f>VLOOKUP($B59,dados!$D$4:$G$500,4,FALSE)</f>
        <v>6652</v>
      </c>
    </row>
    <row r="60" spans="1:5" s="31" customFormat="1" ht="12.75" x14ac:dyDescent="0.2">
      <c r="A60" s="35">
        <f t="shared" si="1"/>
        <v>2001</v>
      </c>
      <c r="B60" s="39">
        <v>37226</v>
      </c>
      <c r="C60" s="33">
        <f>VLOOKUP($B60,dados!$D$4:$G$500,2,FALSE)</f>
        <v>45623</v>
      </c>
      <c r="D60" s="33">
        <f>VLOOKUP($B60,dados!$D$4:$G$500,3,FALSE)</f>
        <v>21983</v>
      </c>
      <c r="E60" s="34">
        <f>VLOOKUP($B60,dados!$D$4:$G$500,4,FALSE)</f>
        <v>6849</v>
      </c>
    </row>
    <row r="61" spans="1:5" s="31" customFormat="1" ht="12.75" x14ac:dyDescent="0.2">
      <c r="A61" s="35"/>
      <c r="B61" s="39"/>
      <c r="C61" s="33"/>
      <c r="D61" s="33"/>
      <c r="E61" s="34"/>
    </row>
    <row r="62" spans="1:5" s="31" customFormat="1" ht="12.75" x14ac:dyDescent="0.2">
      <c r="A62" s="51">
        <f>A63</f>
        <v>2002</v>
      </c>
      <c r="B62" s="43" t="s">
        <v>29</v>
      </c>
      <c r="C62" s="41">
        <f>SUM(C63:C74)</f>
        <v>551639</v>
      </c>
      <c r="D62" s="41">
        <f t="shared" ref="D62" si="8">SUM(D63:D74)</f>
        <v>271055</v>
      </c>
      <c r="E62" s="42">
        <f t="shared" ref="E62" si="9">SUM(E63:E74)</f>
        <v>101399</v>
      </c>
    </row>
    <row r="63" spans="1:5" s="31" customFormat="1" ht="12.75" x14ac:dyDescent="0.2">
      <c r="A63" s="35">
        <f t="shared" si="1"/>
        <v>2002</v>
      </c>
      <c r="B63" s="39">
        <v>37257</v>
      </c>
      <c r="C63" s="33">
        <f>VLOOKUP($B63,dados!$D$4:$G$500,2,FALSE)</f>
        <v>48507</v>
      </c>
      <c r="D63" s="33">
        <f>VLOOKUP($B63,dados!$D$4:$G$500,3,FALSE)</f>
        <v>23796</v>
      </c>
      <c r="E63" s="34">
        <f>VLOOKUP($B63,dados!$D$4:$G$500,4,FALSE)</f>
        <v>8676</v>
      </c>
    </row>
    <row r="64" spans="1:5" s="31" customFormat="1" ht="12.75" x14ac:dyDescent="0.2">
      <c r="A64" s="35">
        <f t="shared" si="1"/>
        <v>2002</v>
      </c>
      <c r="B64" s="39">
        <v>37288</v>
      </c>
      <c r="C64" s="33">
        <f>VLOOKUP($B64,dados!$D$4:$G$500,2,FALSE)</f>
        <v>56573</v>
      </c>
      <c r="D64" s="33">
        <f>VLOOKUP($B64,dados!$D$4:$G$500,3,FALSE)</f>
        <v>27802</v>
      </c>
      <c r="E64" s="34">
        <f>VLOOKUP($B64,dados!$D$4:$G$500,4,FALSE)</f>
        <v>8209</v>
      </c>
    </row>
    <row r="65" spans="1:5" s="31" customFormat="1" ht="12.75" x14ac:dyDescent="0.2">
      <c r="A65" s="35">
        <f t="shared" si="1"/>
        <v>2002</v>
      </c>
      <c r="B65" s="39">
        <v>37316</v>
      </c>
      <c r="C65" s="33">
        <f>VLOOKUP($B65,dados!$D$4:$G$500,2,FALSE)</f>
        <v>43294</v>
      </c>
      <c r="D65" s="33">
        <f>VLOOKUP($B65,dados!$D$4:$G$500,3,FALSE)</f>
        <v>21276</v>
      </c>
      <c r="E65" s="34">
        <f>VLOOKUP($B65,dados!$D$4:$G$500,4,FALSE)</f>
        <v>7240</v>
      </c>
    </row>
    <row r="66" spans="1:5" s="31" customFormat="1" ht="12.75" x14ac:dyDescent="0.2">
      <c r="A66" s="35">
        <f t="shared" si="1"/>
        <v>2002</v>
      </c>
      <c r="B66" s="39">
        <v>37347</v>
      </c>
      <c r="C66" s="33">
        <f>VLOOKUP($B66,dados!$D$4:$G$500,2,FALSE)</f>
        <v>45218</v>
      </c>
      <c r="D66" s="33">
        <f>VLOOKUP($B66,dados!$D$4:$G$500,3,FALSE)</f>
        <v>22222</v>
      </c>
      <c r="E66" s="34">
        <f>VLOOKUP($B66,dados!$D$4:$G$500,4,FALSE)</f>
        <v>9051</v>
      </c>
    </row>
    <row r="67" spans="1:5" s="31" customFormat="1" ht="12.75" x14ac:dyDescent="0.2">
      <c r="A67" s="35">
        <f t="shared" si="1"/>
        <v>2002</v>
      </c>
      <c r="B67" s="39">
        <v>37377</v>
      </c>
      <c r="C67" s="33">
        <f>VLOOKUP($B67,dados!$D$4:$G$500,2,FALSE)</f>
        <v>51824</v>
      </c>
      <c r="D67" s="33">
        <f>VLOOKUP($B67,dados!$D$4:$G$500,3,FALSE)</f>
        <v>25469</v>
      </c>
      <c r="E67" s="34">
        <f>VLOOKUP($B67,dados!$D$4:$G$500,4,FALSE)</f>
        <v>8508</v>
      </c>
    </row>
    <row r="68" spans="1:5" s="31" customFormat="1" ht="12.75" x14ac:dyDescent="0.2">
      <c r="A68" s="35">
        <f t="shared" si="1"/>
        <v>2002</v>
      </c>
      <c r="B68" s="39">
        <v>37408</v>
      </c>
      <c r="C68" s="33">
        <f>VLOOKUP($B68,dados!$D$4:$G$500,2,FALSE)</f>
        <v>36486</v>
      </c>
      <c r="D68" s="33">
        <f>VLOOKUP($B68,dados!$D$4:$G$500,3,FALSE)</f>
        <v>17930</v>
      </c>
      <c r="E68" s="34">
        <f>VLOOKUP($B68,dados!$D$4:$G$500,4,FALSE)</f>
        <v>7934</v>
      </c>
    </row>
    <row r="69" spans="1:5" s="32" customFormat="1" ht="12.75" x14ac:dyDescent="0.2">
      <c r="A69" s="35">
        <f t="shared" si="1"/>
        <v>2002</v>
      </c>
      <c r="B69" s="39">
        <v>37438</v>
      </c>
      <c r="C69" s="33">
        <f>VLOOKUP($B69,dados!$D$4:$G$500,2,FALSE)</f>
        <v>39894</v>
      </c>
      <c r="D69" s="33">
        <f>VLOOKUP($B69,dados!$D$4:$G$500,3,FALSE)</f>
        <v>19606</v>
      </c>
      <c r="E69" s="34">
        <f>VLOOKUP($B69,dados!$D$4:$G$500,4,FALSE)</f>
        <v>8171</v>
      </c>
    </row>
    <row r="70" spans="1:5" s="31" customFormat="1" ht="12.75" x14ac:dyDescent="0.2">
      <c r="A70" s="35">
        <f t="shared" si="1"/>
        <v>2002</v>
      </c>
      <c r="B70" s="39">
        <v>37469</v>
      </c>
      <c r="C70" s="33">
        <f>VLOOKUP($B70,dados!$D$4:$G$500,2,FALSE)</f>
        <v>37775</v>
      </c>
      <c r="D70" s="33">
        <f>VLOOKUP($B70,dados!$D$4:$G$500,3,FALSE)</f>
        <v>18564</v>
      </c>
      <c r="E70" s="34">
        <f>VLOOKUP($B70,dados!$D$4:$G$500,4,FALSE)</f>
        <v>8384</v>
      </c>
    </row>
    <row r="71" spans="1:5" s="31" customFormat="1" ht="12.75" x14ac:dyDescent="0.2">
      <c r="A71" s="35">
        <f t="shared" si="1"/>
        <v>2002</v>
      </c>
      <c r="B71" s="39">
        <v>37500</v>
      </c>
      <c r="C71" s="33">
        <f>VLOOKUP($B71,dados!$D$4:$G$500,2,FALSE)</f>
        <v>41703</v>
      </c>
      <c r="D71" s="33">
        <f>VLOOKUP($B71,dados!$D$4:$G$500,3,FALSE)</f>
        <v>20495</v>
      </c>
      <c r="E71" s="34">
        <f>VLOOKUP($B71,dados!$D$4:$G$500,4,FALSE)</f>
        <v>8408</v>
      </c>
    </row>
    <row r="72" spans="1:5" s="31" customFormat="1" ht="12.75" x14ac:dyDescent="0.2">
      <c r="A72" s="35">
        <f t="shared" si="1"/>
        <v>2002</v>
      </c>
      <c r="B72" s="39">
        <v>37530</v>
      </c>
      <c r="C72" s="33">
        <f>VLOOKUP($B72,dados!$D$4:$G$500,2,FALSE)</f>
        <v>54954</v>
      </c>
      <c r="D72" s="33">
        <f>VLOOKUP($B72,dados!$D$4:$G$500,3,FALSE)</f>
        <v>27006</v>
      </c>
      <c r="E72" s="34">
        <f>VLOOKUP($B72,dados!$D$4:$G$500,4,FALSE)</f>
        <v>8817</v>
      </c>
    </row>
    <row r="73" spans="1:5" s="31" customFormat="1" ht="12.75" x14ac:dyDescent="0.2">
      <c r="A73" s="35">
        <f t="shared" si="1"/>
        <v>2002</v>
      </c>
      <c r="B73" s="39">
        <v>37561</v>
      </c>
      <c r="C73" s="33">
        <f>VLOOKUP($B73,dados!$D$4:$G$500,2,FALSE)</f>
        <v>48201</v>
      </c>
      <c r="D73" s="33">
        <f>VLOOKUP($B73,dados!$D$4:$G$500,3,FALSE)</f>
        <v>23688</v>
      </c>
      <c r="E73" s="34">
        <f>VLOOKUP($B73,dados!$D$4:$G$500,4,FALSE)</f>
        <v>8904</v>
      </c>
    </row>
    <row r="74" spans="1:5" s="31" customFormat="1" ht="12.75" x14ac:dyDescent="0.2">
      <c r="A74" s="35">
        <f t="shared" si="1"/>
        <v>2002</v>
      </c>
      <c r="B74" s="39">
        <v>37591</v>
      </c>
      <c r="C74" s="33">
        <f>VLOOKUP($B74,dados!$D$4:$G$500,2,FALSE)</f>
        <v>47210</v>
      </c>
      <c r="D74" s="33">
        <f>VLOOKUP($B74,dados!$D$4:$G$500,3,FALSE)</f>
        <v>23201</v>
      </c>
      <c r="E74" s="34">
        <f>VLOOKUP($B74,dados!$D$4:$G$500,4,FALSE)</f>
        <v>9097</v>
      </c>
    </row>
    <row r="75" spans="1:5" s="31" customFormat="1" ht="12.75" x14ac:dyDescent="0.2">
      <c r="A75" s="35"/>
      <c r="B75" s="39"/>
      <c r="C75" s="33"/>
      <c r="D75" s="33"/>
      <c r="E75" s="34"/>
    </row>
    <row r="76" spans="1:5" s="31" customFormat="1" ht="12.75" x14ac:dyDescent="0.2">
      <c r="A76" s="51">
        <f>A77</f>
        <v>2003</v>
      </c>
      <c r="B76" s="43" t="s">
        <v>29</v>
      </c>
      <c r="C76" s="41">
        <f>SUM(C77:C88)</f>
        <v>570467</v>
      </c>
      <c r="D76" s="41">
        <f t="shared" ref="D76" si="10">SUM(D77:D88)</f>
        <v>281980</v>
      </c>
      <c r="E76" s="42">
        <f t="shared" ref="E76" si="11">SUM(E77:E88)</f>
        <v>118793</v>
      </c>
    </row>
    <row r="77" spans="1:5" s="31" customFormat="1" ht="12.75" x14ac:dyDescent="0.2">
      <c r="A77" s="35">
        <f t="shared" si="1"/>
        <v>2003</v>
      </c>
      <c r="B77" s="39">
        <v>37622</v>
      </c>
      <c r="C77" s="33">
        <f>VLOOKUP($B77,dados!$D$4:$G$500,2,FALSE)</f>
        <v>51179</v>
      </c>
      <c r="D77" s="33">
        <f>VLOOKUP($B77,dados!$D$4:$G$500,3,FALSE)</f>
        <v>25275</v>
      </c>
      <c r="E77" s="34">
        <f>VLOOKUP($B77,dados!$D$4:$G$500,4,FALSE)</f>
        <v>10586</v>
      </c>
    </row>
    <row r="78" spans="1:5" s="31" customFormat="1" ht="12.75" x14ac:dyDescent="0.2">
      <c r="A78" s="35">
        <f t="shared" si="1"/>
        <v>2003</v>
      </c>
      <c r="B78" s="39">
        <v>37653</v>
      </c>
      <c r="C78" s="33">
        <f>VLOOKUP($B78,dados!$D$4:$G$500,2,FALSE)</f>
        <v>53879</v>
      </c>
      <c r="D78" s="33">
        <f>VLOOKUP($B78,dados!$D$4:$G$500,3,FALSE)</f>
        <v>26614</v>
      </c>
      <c r="E78" s="34">
        <f>VLOOKUP($B78,dados!$D$4:$G$500,4,FALSE)</f>
        <v>10517</v>
      </c>
    </row>
    <row r="79" spans="1:5" s="31" customFormat="1" ht="12.75" x14ac:dyDescent="0.2">
      <c r="A79" s="35">
        <f t="shared" si="1"/>
        <v>2003</v>
      </c>
      <c r="B79" s="39">
        <v>37681</v>
      </c>
      <c r="C79" s="33">
        <f>VLOOKUP($B79,dados!$D$4:$G$500,2,FALSE)</f>
        <v>46691</v>
      </c>
      <c r="D79" s="33">
        <f>VLOOKUP($B79,dados!$D$4:$G$500,3,FALSE)</f>
        <v>23084</v>
      </c>
      <c r="E79" s="34">
        <f>VLOOKUP($B79,dados!$D$4:$G$500,4,FALSE)</f>
        <v>9740</v>
      </c>
    </row>
    <row r="80" spans="1:5" s="31" customFormat="1" ht="12.75" x14ac:dyDescent="0.2">
      <c r="A80" s="35">
        <f t="shared" si="1"/>
        <v>2003</v>
      </c>
      <c r="B80" s="39">
        <v>37712</v>
      </c>
      <c r="C80" s="33">
        <f>VLOOKUP($B80,dados!$D$4:$G$500,2,FALSE)</f>
        <v>44455</v>
      </c>
      <c r="D80" s="33">
        <f>VLOOKUP($B80,dados!$D$4:$G$500,3,FALSE)</f>
        <v>21979</v>
      </c>
      <c r="E80" s="34">
        <f>VLOOKUP($B80,dados!$D$4:$G$500,4,FALSE)</f>
        <v>10859</v>
      </c>
    </row>
    <row r="81" spans="1:5" s="31" customFormat="1" ht="12.75" x14ac:dyDescent="0.2">
      <c r="A81" s="35">
        <f t="shared" si="1"/>
        <v>2003</v>
      </c>
      <c r="B81" s="39">
        <v>37742</v>
      </c>
      <c r="C81" s="33">
        <f>VLOOKUP($B81,dados!$D$4:$G$500,2,FALSE)</f>
        <v>62354</v>
      </c>
      <c r="D81" s="33">
        <f>VLOOKUP($B81,dados!$D$4:$G$500,3,FALSE)</f>
        <v>30828</v>
      </c>
      <c r="E81" s="34">
        <f>VLOOKUP($B81,dados!$D$4:$G$500,4,FALSE)</f>
        <v>8402</v>
      </c>
    </row>
    <row r="82" spans="1:5" s="31" customFormat="1" ht="12.75" x14ac:dyDescent="0.2">
      <c r="A82" s="35">
        <f t="shared" ref="A82:A155" si="12">YEAR(B82)</f>
        <v>2003</v>
      </c>
      <c r="B82" s="39">
        <v>37773</v>
      </c>
      <c r="C82" s="33">
        <f>VLOOKUP($B82,dados!$D$4:$G$500,2,FALSE)</f>
        <v>43789</v>
      </c>
      <c r="D82" s="33">
        <f>VLOOKUP($B82,dados!$D$4:$G$500,3,FALSE)</f>
        <v>21649</v>
      </c>
      <c r="E82" s="34">
        <f>VLOOKUP($B82,dados!$D$4:$G$500,4,FALSE)</f>
        <v>9391</v>
      </c>
    </row>
    <row r="83" spans="1:5" s="31" customFormat="1" ht="12.75" x14ac:dyDescent="0.2">
      <c r="A83" s="35">
        <f t="shared" si="12"/>
        <v>2003</v>
      </c>
      <c r="B83" s="39">
        <v>37803</v>
      </c>
      <c r="C83" s="33">
        <f>VLOOKUP($B83,dados!$D$4:$G$500,2,FALSE)</f>
        <v>36715</v>
      </c>
      <c r="D83" s="33">
        <f>VLOOKUP($B83,dados!$D$4:$G$500,3,FALSE)</f>
        <v>18152</v>
      </c>
      <c r="E83" s="34">
        <f>VLOOKUP($B83,dados!$D$4:$G$500,4,FALSE)</f>
        <v>8875</v>
      </c>
    </row>
    <row r="84" spans="1:5" s="32" customFormat="1" ht="12.75" x14ac:dyDescent="0.2">
      <c r="A84" s="35">
        <f t="shared" si="12"/>
        <v>2003</v>
      </c>
      <c r="B84" s="39">
        <v>37834</v>
      </c>
      <c r="C84" s="33">
        <f>VLOOKUP($B84,dados!$D$4:$G$500,2,FALSE)</f>
        <v>48166</v>
      </c>
      <c r="D84" s="33">
        <f>VLOOKUP($B84,dados!$D$4:$G$500,3,FALSE)</f>
        <v>23813</v>
      </c>
      <c r="E84" s="34">
        <f>VLOOKUP($B84,dados!$D$4:$G$500,4,FALSE)</f>
        <v>9465</v>
      </c>
    </row>
    <row r="85" spans="1:5" s="31" customFormat="1" ht="12.75" x14ac:dyDescent="0.2">
      <c r="A85" s="35">
        <f t="shared" si="12"/>
        <v>2003</v>
      </c>
      <c r="B85" s="39">
        <v>37865</v>
      </c>
      <c r="C85" s="33">
        <f>VLOOKUP($B85,dados!$D$4:$G$500,2,FALSE)</f>
        <v>41793</v>
      </c>
      <c r="D85" s="33">
        <f>VLOOKUP($B85,dados!$D$4:$G$500,3,FALSE)</f>
        <v>20663</v>
      </c>
      <c r="E85" s="34">
        <f>VLOOKUP($B85,dados!$D$4:$G$500,4,FALSE)</f>
        <v>8553</v>
      </c>
    </row>
    <row r="86" spans="1:5" s="31" customFormat="1" ht="12.75" x14ac:dyDescent="0.2">
      <c r="A86" s="35">
        <f t="shared" si="12"/>
        <v>2003</v>
      </c>
      <c r="B86" s="39">
        <v>37895</v>
      </c>
      <c r="C86" s="33">
        <f>VLOOKUP($B86,dados!$D$4:$G$500,2,FALSE)</f>
        <v>43193</v>
      </c>
      <c r="D86" s="33">
        <f>VLOOKUP($B86,dados!$D$4:$G$500,3,FALSE)</f>
        <v>21348</v>
      </c>
      <c r="E86" s="34">
        <f>VLOOKUP($B86,dados!$D$4:$G$500,4,FALSE)</f>
        <v>10330</v>
      </c>
    </row>
    <row r="87" spans="1:5" s="31" customFormat="1" ht="12.75" x14ac:dyDescent="0.2">
      <c r="A87" s="35">
        <f t="shared" si="12"/>
        <v>2003</v>
      </c>
      <c r="B87" s="39">
        <v>37926</v>
      </c>
      <c r="C87" s="33">
        <f>VLOOKUP($B87,dados!$D$4:$G$500,2,FALSE)</f>
        <v>48100</v>
      </c>
      <c r="D87" s="33">
        <f>VLOOKUP($B87,dados!$D$4:$G$500,3,FALSE)</f>
        <v>23781</v>
      </c>
      <c r="E87" s="34">
        <f>VLOOKUP($B87,dados!$D$4:$G$500,4,FALSE)</f>
        <v>10641</v>
      </c>
    </row>
    <row r="88" spans="1:5" s="32" customFormat="1" ht="12.75" x14ac:dyDescent="0.2">
      <c r="A88" s="35">
        <f t="shared" si="12"/>
        <v>2003</v>
      </c>
      <c r="B88" s="39">
        <v>37956</v>
      </c>
      <c r="C88" s="33">
        <f>VLOOKUP($B88,dados!$D$4:$G$500,2,FALSE)</f>
        <v>50153</v>
      </c>
      <c r="D88" s="33">
        <f>VLOOKUP($B88,dados!$D$4:$G$500,3,FALSE)</f>
        <v>24794</v>
      </c>
      <c r="E88" s="34">
        <f>VLOOKUP($B88,dados!$D$4:$G$500,4,FALSE)</f>
        <v>11434</v>
      </c>
    </row>
    <row r="89" spans="1:5" s="32" customFormat="1" ht="12.75" x14ac:dyDescent="0.2">
      <c r="A89" s="35"/>
      <c r="B89" s="39"/>
      <c r="C89" s="33"/>
      <c r="D89" s="33"/>
      <c r="E89" s="34"/>
    </row>
    <row r="90" spans="1:5" s="32" customFormat="1" ht="12.75" x14ac:dyDescent="0.2">
      <c r="A90" s="51">
        <f>A91</f>
        <v>2004</v>
      </c>
      <c r="B90" s="43" t="s">
        <v>29</v>
      </c>
      <c r="C90" s="41">
        <f>SUM(C91:C102)</f>
        <v>630001</v>
      </c>
      <c r="D90" s="41">
        <f t="shared" ref="D90" si="13">SUM(D91:D102)</f>
        <v>310820</v>
      </c>
      <c r="E90" s="42">
        <f t="shared" ref="E90" si="14">SUM(E91:E102)</f>
        <v>188630</v>
      </c>
    </row>
    <row r="91" spans="1:5" s="31" customFormat="1" ht="12.75" x14ac:dyDescent="0.2">
      <c r="A91" s="35">
        <f t="shared" si="12"/>
        <v>2004</v>
      </c>
      <c r="B91" s="39">
        <v>37987</v>
      </c>
      <c r="C91" s="33">
        <f>VLOOKUP($B91,dados!$D$4:$G$500,2,FALSE)</f>
        <v>55160</v>
      </c>
      <c r="D91" s="33">
        <f>VLOOKUP($B91,dados!$D$4:$G$500,3,FALSE)</f>
        <v>27214</v>
      </c>
      <c r="E91" s="34">
        <f>VLOOKUP($B91,dados!$D$4:$G$500,4,FALSE)</f>
        <v>12699</v>
      </c>
    </row>
    <row r="92" spans="1:5" s="31" customFormat="1" ht="12.75" x14ac:dyDescent="0.2">
      <c r="A92" s="35">
        <f t="shared" si="12"/>
        <v>2004</v>
      </c>
      <c r="B92" s="39">
        <v>38018</v>
      </c>
      <c r="C92" s="33">
        <f>VLOOKUP($B92,dados!$D$4:$G$500,2,FALSE)</f>
        <v>60240</v>
      </c>
      <c r="D92" s="33">
        <f>VLOOKUP($B92,dados!$D$4:$G$500,3,FALSE)</f>
        <v>29720</v>
      </c>
      <c r="E92" s="34">
        <f>VLOOKUP($B92,dados!$D$4:$G$500,4,FALSE)</f>
        <v>13972</v>
      </c>
    </row>
    <row r="93" spans="1:5" s="31" customFormat="1" ht="12.75" x14ac:dyDescent="0.2">
      <c r="A93" s="35">
        <f t="shared" si="12"/>
        <v>2004</v>
      </c>
      <c r="B93" s="39">
        <v>38047</v>
      </c>
      <c r="C93" s="33">
        <f>VLOOKUP($B93,dados!$D$4:$G$500,2,FALSE)</f>
        <v>48752</v>
      </c>
      <c r="D93" s="33">
        <f>VLOOKUP($B93,dados!$D$4:$G$500,3,FALSE)</f>
        <v>24053</v>
      </c>
      <c r="E93" s="34">
        <f>VLOOKUP($B93,dados!$D$4:$G$500,4,FALSE)</f>
        <v>12993</v>
      </c>
    </row>
    <row r="94" spans="1:5" s="31" customFormat="1" ht="12.75" x14ac:dyDescent="0.2">
      <c r="A94" s="35">
        <f t="shared" si="12"/>
        <v>2004</v>
      </c>
      <c r="B94" s="39">
        <v>38078</v>
      </c>
      <c r="C94" s="33">
        <f>VLOOKUP($B94,dados!$D$4:$G$500,2,FALSE)</f>
        <v>53702</v>
      </c>
      <c r="D94" s="33">
        <f>VLOOKUP($B94,dados!$D$4:$G$500,3,FALSE)</f>
        <v>26495</v>
      </c>
      <c r="E94" s="34">
        <f>VLOOKUP($B94,dados!$D$4:$G$500,4,FALSE)</f>
        <v>15990</v>
      </c>
    </row>
    <row r="95" spans="1:5" s="31" customFormat="1" ht="12.75" x14ac:dyDescent="0.2">
      <c r="A95" s="35">
        <f t="shared" si="12"/>
        <v>2004</v>
      </c>
      <c r="B95" s="39">
        <v>38108</v>
      </c>
      <c r="C95" s="33">
        <f>VLOOKUP($B95,dados!$D$4:$G$500,2,FALSE)</f>
        <v>62544</v>
      </c>
      <c r="D95" s="33">
        <f>VLOOKUP($B95,dados!$D$4:$G$500,3,FALSE)</f>
        <v>30857</v>
      </c>
      <c r="E95" s="34">
        <f>VLOOKUP($B95,dados!$D$4:$G$500,4,FALSE)</f>
        <v>15655</v>
      </c>
    </row>
    <row r="96" spans="1:5" s="31" customFormat="1" ht="12.75" x14ac:dyDescent="0.2">
      <c r="A96" s="35">
        <f t="shared" si="12"/>
        <v>2004</v>
      </c>
      <c r="B96" s="39">
        <v>38139</v>
      </c>
      <c r="C96" s="33">
        <f>VLOOKUP($B96,dados!$D$4:$G$500,2,FALSE)</f>
        <v>40601</v>
      </c>
      <c r="D96" s="33">
        <f>VLOOKUP($B96,dados!$D$4:$G$500,3,FALSE)</f>
        <v>20031</v>
      </c>
      <c r="E96" s="34">
        <f>VLOOKUP($B96,dados!$D$4:$G$500,4,FALSE)</f>
        <v>15315</v>
      </c>
    </row>
    <row r="97" spans="1:5" s="31" customFormat="1" ht="12.75" x14ac:dyDescent="0.2">
      <c r="A97" s="35">
        <f t="shared" si="12"/>
        <v>2004</v>
      </c>
      <c r="B97" s="39">
        <v>38169</v>
      </c>
      <c r="C97" s="33">
        <f>VLOOKUP($B97,dados!$D$4:$G$500,2,FALSE)</f>
        <v>42222</v>
      </c>
      <c r="D97" s="33">
        <f>VLOOKUP($B97,dados!$D$4:$G$500,3,FALSE)</f>
        <v>20831</v>
      </c>
      <c r="E97" s="34">
        <f>VLOOKUP($B97,dados!$D$4:$G$500,4,FALSE)</f>
        <v>16421</v>
      </c>
    </row>
    <row r="98" spans="1:5" s="31" customFormat="1" ht="12.75" x14ac:dyDescent="0.2">
      <c r="A98" s="35">
        <f t="shared" si="12"/>
        <v>2004</v>
      </c>
      <c r="B98" s="39">
        <v>38200</v>
      </c>
      <c r="C98" s="33">
        <f>VLOOKUP($B98,dados!$D$4:$G$500,2,FALSE)</f>
        <v>54930</v>
      </c>
      <c r="D98" s="33">
        <f>VLOOKUP($B98,dados!$D$4:$G$500,3,FALSE)</f>
        <v>27100</v>
      </c>
      <c r="E98" s="34">
        <f>VLOOKUP($B98,dados!$D$4:$G$500,4,FALSE)</f>
        <v>17216</v>
      </c>
    </row>
    <row r="99" spans="1:5" s="32" customFormat="1" ht="12.75" x14ac:dyDescent="0.2">
      <c r="A99" s="35">
        <f t="shared" si="12"/>
        <v>2004</v>
      </c>
      <c r="B99" s="39">
        <v>38231</v>
      </c>
      <c r="C99" s="33">
        <f>VLOOKUP($B99,dados!$D$4:$G$500,2,FALSE)</f>
        <v>47567</v>
      </c>
      <c r="D99" s="33">
        <f>VLOOKUP($B99,dados!$D$4:$G$500,3,FALSE)</f>
        <v>23468</v>
      </c>
      <c r="E99" s="34">
        <f>VLOOKUP($B99,dados!$D$4:$G$500,4,FALSE)</f>
        <v>16505</v>
      </c>
    </row>
    <row r="100" spans="1:5" s="31" customFormat="1" ht="12.75" x14ac:dyDescent="0.2">
      <c r="A100" s="35">
        <f t="shared" si="12"/>
        <v>2004</v>
      </c>
      <c r="B100" s="39">
        <v>38261</v>
      </c>
      <c r="C100" s="33">
        <f>VLOOKUP($B100,dados!$D$4:$G$500,2,FALSE)</f>
        <v>50904</v>
      </c>
      <c r="D100" s="33">
        <f>VLOOKUP($B100,dados!$D$4:$G$500,3,FALSE)</f>
        <v>25114</v>
      </c>
      <c r="E100" s="34">
        <f>VLOOKUP($B100,dados!$D$4:$G$500,4,FALSE)</f>
        <v>17310</v>
      </c>
    </row>
    <row r="101" spans="1:5" s="31" customFormat="1" ht="12.75" x14ac:dyDescent="0.2">
      <c r="A101" s="35">
        <f t="shared" si="12"/>
        <v>2004</v>
      </c>
      <c r="B101" s="39">
        <v>38292</v>
      </c>
      <c r="C101" s="33">
        <f>VLOOKUP($B101,dados!$D$4:$G$500,2,FALSE)</f>
        <v>50746</v>
      </c>
      <c r="D101" s="33">
        <f>VLOOKUP($B101,dados!$D$4:$G$500,3,FALSE)</f>
        <v>25036</v>
      </c>
      <c r="E101" s="34">
        <f>VLOOKUP($B101,dados!$D$4:$G$500,4,FALSE)</f>
        <v>17118</v>
      </c>
    </row>
    <row r="102" spans="1:5" s="31" customFormat="1" ht="12.75" x14ac:dyDescent="0.2">
      <c r="A102" s="35">
        <f t="shared" si="12"/>
        <v>2004</v>
      </c>
      <c r="B102" s="39">
        <v>38322</v>
      </c>
      <c r="C102" s="33">
        <f>VLOOKUP($B102,dados!$D$4:$G$500,2,FALSE)</f>
        <v>62633</v>
      </c>
      <c r="D102" s="33">
        <f>VLOOKUP($B102,dados!$D$4:$G$500,3,FALSE)</f>
        <v>30901</v>
      </c>
      <c r="E102" s="34">
        <f>VLOOKUP($B102,dados!$D$4:$G$500,4,FALSE)</f>
        <v>17436</v>
      </c>
    </row>
    <row r="103" spans="1:5" s="31" customFormat="1" ht="12.75" x14ac:dyDescent="0.2">
      <c r="A103" s="35"/>
      <c r="B103" s="39"/>
      <c r="C103" s="33"/>
      <c r="D103" s="33"/>
      <c r="E103" s="34"/>
    </row>
    <row r="104" spans="1:5" s="31" customFormat="1" ht="12.75" x14ac:dyDescent="0.2">
      <c r="A104" s="51">
        <f>A105</f>
        <v>2005</v>
      </c>
      <c r="B104" s="43" t="s">
        <v>29</v>
      </c>
      <c r="C104" s="41">
        <f>SUM(C105:C116)</f>
        <v>778177</v>
      </c>
      <c r="D104" s="41">
        <f t="shared" ref="D104" si="15">SUM(D105:D116)</f>
        <v>389005.30332000001</v>
      </c>
      <c r="E104" s="42">
        <f t="shared" ref="E104" si="16">SUM(E105:E116)</f>
        <v>214387.41904000001</v>
      </c>
    </row>
    <row r="105" spans="1:5" s="32" customFormat="1" ht="12.75" x14ac:dyDescent="0.2">
      <c r="A105" s="35">
        <f t="shared" si="12"/>
        <v>2005</v>
      </c>
      <c r="B105" s="39">
        <v>38353</v>
      </c>
      <c r="C105" s="33">
        <f>VLOOKUP($B105,dados!$D$4:$G$500,2,FALSE)</f>
        <v>70308</v>
      </c>
      <c r="D105" s="33">
        <f>VLOOKUP($B105,dados!$D$4:$G$500,3,FALSE)</f>
        <v>34744.849900000001</v>
      </c>
      <c r="E105" s="34">
        <f>VLOOKUP($B105,dados!$D$4:$G$500,4,FALSE)</f>
        <v>18415.462019999999</v>
      </c>
    </row>
    <row r="106" spans="1:5" s="31" customFormat="1" ht="12.75" x14ac:dyDescent="0.2">
      <c r="A106" s="35">
        <f t="shared" si="12"/>
        <v>2005</v>
      </c>
      <c r="B106" s="39">
        <v>38384</v>
      </c>
      <c r="C106" s="33">
        <f>VLOOKUP($B106,dados!$D$4:$G$500,2,FALSE)</f>
        <v>61547</v>
      </c>
      <c r="D106" s="33">
        <f>VLOOKUP($B106,dados!$D$4:$G$500,3,FALSE)</f>
        <v>30415.453420000002</v>
      </c>
      <c r="E106" s="34">
        <f>VLOOKUP($B106,dados!$D$4:$G$500,4,FALSE)</f>
        <v>15679.95702</v>
      </c>
    </row>
    <row r="107" spans="1:5" s="31" customFormat="1" ht="12.75" x14ac:dyDescent="0.2">
      <c r="A107" s="35">
        <f t="shared" si="12"/>
        <v>2005</v>
      </c>
      <c r="B107" s="39">
        <v>38412</v>
      </c>
      <c r="C107" s="33">
        <f>VLOOKUP($B107,dados!$D$4:$G$500,2,FALSE)</f>
        <v>50027</v>
      </c>
      <c r="D107" s="33">
        <f>VLOOKUP($B107,dados!$D$4:$G$500,3,FALSE)</f>
        <v>29170</v>
      </c>
      <c r="E107" s="34">
        <f>VLOOKUP($B107,dados!$D$4:$G$500,4,FALSE)</f>
        <v>15681</v>
      </c>
    </row>
    <row r="108" spans="1:5" s="31" customFormat="1" ht="12.75" x14ac:dyDescent="0.2">
      <c r="A108" s="35">
        <f t="shared" si="12"/>
        <v>2005</v>
      </c>
      <c r="B108" s="39">
        <v>38443</v>
      </c>
      <c r="C108" s="33">
        <f>VLOOKUP($B108,dados!$D$4:$G$500,2,FALSE)</f>
        <v>64087</v>
      </c>
      <c r="D108" s="33">
        <f>VLOOKUP($B108,dados!$D$4:$G$500,3,FALSE)</f>
        <v>31671</v>
      </c>
      <c r="E108" s="34">
        <f>VLOOKUP($B108,dados!$D$4:$G$500,4,FALSE)</f>
        <v>18147</v>
      </c>
    </row>
    <row r="109" spans="1:5" s="31" customFormat="1" ht="12.75" x14ac:dyDescent="0.2">
      <c r="A109" s="35">
        <f t="shared" si="12"/>
        <v>2005</v>
      </c>
      <c r="B109" s="39">
        <v>38473</v>
      </c>
      <c r="C109" s="33">
        <f>VLOOKUP($B109,dados!$D$4:$G$500,2,FALSE)</f>
        <v>72336</v>
      </c>
      <c r="D109" s="33">
        <f>VLOOKUP($B109,dados!$D$4:$G$500,3,FALSE)</f>
        <v>35747</v>
      </c>
      <c r="E109" s="34">
        <f>VLOOKUP($B109,dados!$D$4:$G$500,4,FALSE)</f>
        <v>17699</v>
      </c>
    </row>
    <row r="110" spans="1:5" s="31" customFormat="1" ht="12.75" x14ac:dyDescent="0.2">
      <c r="A110" s="35">
        <f t="shared" si="12"/>
        <v>2005</v>
      </c>
      <c r="B110" s="39">
        <v>38504</v>
      </c>
      <c r="C110" s="33">
        <f>VLOOKUP($B110,dados!$D$4:$G$500,2,FALSE)</f>
        <v>70082</v>
      </c>
      <c r="D110" s="33">
        <f>VLOOKUP($B110,dados!$D$4:$G$500,3,FALSE)</f>
        <v>34633</v>
      </c>
      <c r="E110" s="34">
        <f>VLOOKUP($B110,dados!$D$4:$G$500,4,FALSE)</f>
        <v>14700</v>
      </c>
    </row>
    <row r="111" spans="1:5" s="31" customFormat="1" ht="12.75" x14ac:dyDescent="0.2">
      <c r="A111" s="35">
        <f t="shared" si="12"/>
        <v>2005</v>
      </c>
      <c r="B111" s="39">
        <v>38534</v>
      </c>
      <c r="C111" s="33">
        <f>VLOOKUP($B111,dados!$D$4:$G$500,2,FALSE)</f>
        <v>57549</v>
      </c>
      <c r="D111" s="33">
        <f>VLOOKUP($B111,dados!$D$4:$G$500,3,FALSE)</f>
        <v>28440</v>
      </c>
      <c r="E111" s="34">
        <f>VLOOKUP($B111,dados!$D$4:$G$500,4,FALSE)</f>
        <v>14977</v>
      </c>
    </row>
    <row r="112" spans="1:5" s="31" customFormat="1" ht="12.75" x14ac:dyDescent="0.2">
      <c r="A112" s="35">
        <f t="shared" si="12"/>
        <v>2005</v>
      </c>
      <c r="B112" s="39">
        <v>38565</v>
      </c>
      <c r="C112" s="33">
        <f>VLOOKUP($B112,dados!$D$4:$G$500,2,FALSE)</f>
        <v>59209</v>
      </c>
      <c r="D112" s="33">
        <f>VLOOKUP($B112,dados!$D$4:$G$500,3,FALSE)</f>
        <v>29260</v>
      </c>
      <c r="E112" s="34">
        <f>VLOOKUP($B112,dados!$D$4:$G$500,4,FALSE)</f>
        <v>18528</v>
      </c>
    </row>
    <row r="113" spans="1:5" s="31" customFormat="1" ht="12.75" x14ac:dyDescent="0.2">
      <c r="A113" s="35">
        <f t="shared" si="12"/>
        <v>2005</v>
      </c>
      <c r="B113" s="39">
        <v>38596</v>
      </c>
      <c r="C113" s="33">
        <f>VLOOKUP($B113,dados!$D$4:$G$500,2,FALSE)</f>
        <v>49458</v>
      </c>
      <c r="D113" s="33">
        <f>VLOOKUP($B113,dados!$D$4:$G$500,3,FALSE)</f>
        <v>24441</v>
      </c>
      <c r="E113" s="34">
        <f>VLOOKUP($B113,dados!$D$4:$G$500,4,FALSE)</f>
        <v>18166</v>
      </c>
    </row>
    <row r="114" spans="1:5" s="31" customFormat="1" ht="12.75" x14ac:dyDescent="0.2">
      <c r="A114" s="35">
        <f t="shared" si="12"/>
        <v>2005</v>
      </c>
      <c r="B114" s="39">
        <v>38626</v>
      </c>
      <c r="C114" s="33">
        <f>VLOOKUP($B114,dados!$D$4:$G$500,2,FALSE)</f>
        <v>57272</v>
      </c>
      <c r="D114" s="33">
        <f>VLOOKUP($B114,dados!$D$4:$G$500,3,FALSE)</f>
        <v>28303</v>
      </c>
      <c r="E114" s="34">
        <f>VLOOKUP($B114,dados!$D$4:$G$500,4,FALSE)</f>
        <v>19656</v>
      </c>
    </row>
    <row r="115" spans="1:5" s="31" customFormat="1" ht="12.75" x14ac:dyDescent="0.2">
      <c r="A115" s="35">
        <f t="shared" si="12"/>
        <v>2005</v>
      </c>
      <c r="B115" s="39">
        <v>38657</v>
      </c>
      <c r="C115" s="33">
        <f>VLOOKUP($B115,dados!$D$4:$G$500,2,FALSE)</f>
        <v>69232</v>
      </c>
      <c r="D115" s="33">
        <f>VLOOKUP($B115,dados!$D$4:$G$500,3,FALSE)</f>
        <v>34213</v>
      </c>
      <c r="E115" s="34">
        <f>VLOOKUP($B115,dados!$D$4:$G$500,4,FALSE)</f>
        <v>20346</v>
      </c>
    </row>
    <row r="116" spans="1:5" s="31" customFormat="1" ht="12.75" x14ac:dyDescent="0.2">
      <c r="A116" s="35">
        <f t="shared" si="12"/>
        <v>2005</v>
      </c>
      <c r="B116" s="39">
        <v>38687</v>
      </c>
      <c r="C116" s="33">
        <f>VLOOKUP($B116,dados!$D$4:$G$500,2,FALSE)</f>
        <v>97070</v>
      </c>
      <c r="D116" s="33">
        <f>VLOOKUP($B116,dados!$D$4:$G$500,3,FALSE)</f>
        <v>47967</v>
      </c>
      <c r="E116" s="34">
        <f>VLOOKUP($B116,dados!$D$4:$G$500,4,FALSE)</f>
        <v>22392</v>
      </c>
    </row>
    <row r="117" spans="1:5" s="31" customFormat="1" ht="12.75" x14ac:dyDescent="0.2">
      <c r="A117" s="35"/>
      <c r="B117" s="39"/>
      <c r="C117" s="33"/>
      <c r="D117" s="33"/>
      <c r="E117" s="34"/>
    </row>
    <row r="118" spans="1:5" s="31" customFormat="1" ht="12.75" x14ac:dyDescent="0.2">
      <c r="A118" s="51">
        <f>A119</f>
        <v>2006</v>
      </c>
      <c r="B118" s="43" t="s">
        <v>29</v>
      </c>
      <c r="C118" s="41">
        <f>SUM(C119:C130)</f>
        <v>866386</v>
      </c>
      <c r="D118" s="41">
        <f t="shared" ref="D118" si="17">SUM(D119:D130)</f>
        <v>430522</v>
      </c>
      <c r="E118" s="42">
        <f t="shared" ref="E118" si="18">SUM(E119:E130)</f>
        <v>267231</v>
      </c>
    </row>
    <row r="119" spans="1:5" s="31" customFormat="1" ht="12.75" x14ac:dyDescent="0.2">
      <c r="A119" s="35">
        <f t="shared" si="12"/>
        <v>2006</v>
      </c>
      <c r="B119" s="39">
        <v>38718</v>
      </c>
      <c r="C119" s="33">
        <f>VLOOKUP($B119,dados!$D$4:$G$500,2,FALSE)</f>
        <v>78530</v>
      </c>
      <c r="D119" s="33">
        <f>VLOOKUP($B119,dados!$D$4:$G$500,3,FALSE)</f>
        <v>39374</v>
      </c>
      <c r="E119" s="34">
        <f>VLOOKUP($B119,dados!$D$4:$G$500,4,FALSE)</f>
        <v>21272</v>
      </c>
    </row>
    <row r="120" spans="1:5" s="31" customFormat="1" ht="12.75" x14ac:dyDescent="0.2">
      <c r="A120" s="35">
        <f t="shared" si="12"/>
        <v>2006</v>
      </c>
      <c r="B120" s="39">
        <v>38749</v>
      </c>
      <c r="C120" s="33">
        <f>VLOOKUP($B120,dados!$D$4:$G$500,2,FALSE)</f>
        <v>67542</v>
      </c>
      <c r="D120" s="33">
        <f>VLOOKUP($B120,dados!$D$4:$G$500,3,FALSE)</f>
        <v>33865</v>
      </c>
      <c r="E120" s="34">
        <f>VLOOKUP($B120,dados!$D$4:$G$500,4,FALSE)</f>
        <v>18002</v>
      </c>
    </row>
    <row r="121" spans="1:5" s="31" customFormat="1" ht="12.75" x14ac:dyDescent="0.2">
      <c r="A121" s="35">
        <f t="shared" si="12"/>
        <v>2006</v>
      </c>
      <c r="B121" s="39">
        <v>38777</v>
      </c>
      <c r="C121" s="33">
        <f>VLOOKUP($B121,dados!$D$4:$G$500,2,FALSE)</f>
        <v>64443</v>
      </c>
      <c r="D121" s="33">
        <f>VLOOKUP($B121,dados!$D$4:$G$500,3,FALSE)</f>
        <v>31994</v>
      </c>
      <c r="E121" s="34">
        <f>VLOOKUP($B121,dados!$D$4:$G$500,4,FALSE)</f>
        <v>18297</v>
      </c>
    </row>
    <row r="122" spans="1:5" s="31" customFormat="1" ht="12.75" x14ac:dyDescent="0.2">
      <c r="A122" s="35">
        <f t="shared" si="12"/>
        <v>2006</v>
      </c>
      <c r="B122" s="39">
        <v>38808</v>
      </c>
      <c r="C122" s="33">
        <f>VLOOKUP($B122,dados!$D$4:$G$500,2,FALSE)</f>
        <v>72514</v>
      </c>
      <c r="D122" s="33">
        <f>VLOOKUP($B122,dados!$D$4:$G$500,3,FALSE)</f>
        <v>36020</v>
      </c>
      <c r="E122" s="34">
        <f>VLOOKUP($B122,dados!$D$4:$G$500,4,FALSE)</f>
        <v>21167</v>
      </c>
    </row>
    <row r="123" spans="1:5" s="31" customFormat="1" ht="12.75" x14ac:dyDescent="0.2">
      <c r="A123" s="35">
        <f t="shared" si="12"/>
        <v>2006</v>
      </c>
      <c r="B123" s="39">
        <v>38838</v>
      </c>
      <c r="C123" s="33">
        <f>VLOOKUP($B123,dados!$D$4:$G$500,2,FALSE)</f>
        <v>79583</v>
      </c>
      <c r="D123" s="33">
        <f>VLOOKUP($B123,dados!$D$4:$G$500,3,FALSE)</f>
        <v>39531</v>
      </c>
      <c r="E123" s="34">
        <f>VLOOKUP($B123,dados!$D$4:$G$500,4,FALSE)</f>
        <v>18692</v>
      </c>
    </row>
    <row r="124" spans="1:5" s="31" customFormat="1" ht="12.75" x14ac:dyDescent="0.2">
      <c r="A124" s="35">
        <f t="shared" si="12"/>
        <v>2006</v>
      </c>
      <c r="B124" s="39">
        <v>38869</v>
      </c>
      <c r="C124" s="33">
        <f>VLOOKUP($B124,dados!$D$4:$G$500,2,FALSE)</f>
        <v>77449</v>
      </c>
      <c r="D124" s="33">
        <f>VLOOKUP($B124,dados!$D$4:$G$500,3,FALSE)</f>
        <v>38471</v>
      </c>
      <c r="E124" s="34">
        <f>VLOOKUP($B124,dados!$D$4:$G$500,4,FALSE)</f>
        <v>21721</v>
      </c>
    </row>
    <row r="125" spans="1:5" s="31" customFormat="1" ht="12.75" x14ac:dyDescent="0.2">
      <c r="A125" s="35">
        <f t="shared" si="12"/>
        <v>2006</v>
      </c>
      <c r="B125" s="39">
        <v>38899</v>
      </c>
      <c r="C125" s="33">
        <f>VLOOKUP($B125,dados!$D$4:$G$500,2,FALSE)</f>
        <v>69414</v>
      </c>
      <c r="D125" s="33">
        <f>VLOOKUP($B125,dados!$D$4:$G$500,3,FALSE)</f>
        <v>34472</v>
      </c>
      <c r="E125" s="34">
        <f>VLOOKUP($B125,dados!$D$4:$G$500,4,FALSE)</f>
        <v>20775</v>
      </c>
    </row>
    <row r="126" spans="1:5" s="31" customFormat="1" ht="12.75" x14ac:dyDescent="0.2">
      <c r="A126" s="35">
        <f t="shared" si="12"/>
        <v>2006</v>
      </c>
      <c r="B126" s="39">
        <v>38930</v>
      </c>
      <c r="C126" s="33">
        <f>VLOOKUP($B126,dados!$D$4:$G$500,2,FALSE)</f>
        <v>70214</v>
      </c>
      <c r="D126" s="33">
        <f>VLOOKUP($B126,dados!$D$4:$G$500,3,FALSE)</f>
        <v>34877</v>
      </c>
      <c r="E126" s="34">
        <f>VLOOKUP($B126,dados!$D$4:$G$500,4,FALSE)</f>
        <v>21400</v>
      </c>
    </row>
    <row r="127" spans="1:5" s="31" customFormat="1" ht="12.75" x14ac:dyDescent="0.2">
      <c r="A127" s="35">
        <f t="shared" si="12"/>
        <v>2006</v>
      </c>
      <c r="B127" s="39">
        <v>38961</v>
      </c>
      <c r="C127" s="33">
        <f>VLOOKUP($B127,dados!$D$4:$G$500,2,FALSE)</f>
        <v>65210</v>
      </c>
      <c r="D127" s="33">
        <f>VLOOKUP($B127,dados!$D$4:$G$500,3,FALSE)</f>
        <v>32404</v>
      </c>
      <c r="E127" s="34">
        <f>VLOOKUP($B127,dados!$D$4:$G$500,4,FALSE)</f>
        <v>27567</v>
      </c>
    </row>
    <row r="128" spans="1:5" s="31" customFormat="1" ht="12.75" x14ac:dyDescent="0.2">
      <c r="A128" s="35">
        <f t="shared" si="12"/>
        <v>2006</v>
      </c>
      <c r="B128" s="39">
        <v>38991</v>
      </c>
      <c r="C128" s="33">
        <f>VLOOKUP($B128,dados!$D$4:$G$500,2,FALSE)</f>
        <v>59043</v>
      </c>
      <c r="D128" s="33">
        <f>VLOOKUP($B128,dados!$D$4:$G$500,3,FALSE)</f>
        <v>29365</v>
      </c>
      <c r="E128" s="34">
        <f>VLOOKUP($B128,dados!$D$4:$G$500,4,FALSE)</f>
        <v>23279</v>
      </c>
    </row>
    <row r="129" spans="1:5" s="31" customFormat="1" ht="12.75" x14ac:dyDescent="0.2">
      <c r="A129" s="35">
        <f t="shared" si="12"/>
        <v>2006</v>
      </c>
      <c r="B129" s="39">
        <v>39022</v>
      </c>
      <c r="C129" s="33">
        <f>VLOOKUP($B129,dados!$D$4:$G$500,2,FALSE)</f>
        <v>73433</v>
      </c>
      <c r="D129" s="33">
        <f>VLOOKUP($B129,dados!$D$4:$G$500,3,FALSE)</f>
        <v>36167</v>
      </c>
      <c r="E129" s="34">
        <f>VLOOKUP($B129,dados!$D$4:$G$500,4,FALSE)</f>
        <v>23422</v>
      </c>
    </row>
    <row r="130" spans="1:5" s="31" customFormat="1" ht="12.75" x14ac:dyDescent="0.2">
      <c r="A130" s="35">
        <f t="shared" si="12"/>
        <v>2006</v>
      </c>
      <c r="B130" s="39">
        <v>39052</v>
      </c>
      <c r="C130" s="33">
        <f>VLOOKUP($B130,dados!$D$4:$G$500,2,FALSE)</f>
        <v>89011</v>
      </c>
      <c r="D130" s="33">
        <f>VLOOKUP($B130,dados!$D$4:$G$500,3,FALSE)</f>
        <v>43982</v>
      </c>
      <c r="E130" s="34">
        <f>VLOOKUP($B130,dados!$D$4:$G$500,4,FALSE)</f>
        <v>31637</v>
      </c>
    </row>
    <row r="131" spans="1:5" s="31" customFormat="1" ht="12.75" x14ac:dyDescent="0.2">
      <c r="A131" s="35"/>
      <c r="B131" s="39"/>
      <c r="C131" s="33"/>
      <c r="D131" s="33"/>
      <c r="E131" s="34"/>
    </row>
    <row r="132" spans="1:5" s="31" customFormat="1" ht="12.75" x14ac:dyDescent="0.2">
      <c r="A132" s="51">
        <f>A133</f>
        <v>2007</v>
      </c>
      <c r="B132" s="43" t="s">
        <v>29</v>
      </c>
      <c r="C132" s="41">
        <f>SUM(C133:C144)</f>
        <v>992713.1476299999</v>
      </c>
      <c r="D132" s="41">
        <f t="shared" ref="D132" si="19">SUM(D133:D144)</f>
        <v>489011.66185999999</v>
      </c>
      <c r="E132" s="42">
        <f t="shared" ref="E132" si="20">SUM(E133:E144)</f>
        <v>348084.42946000001</v>
      </c>
    </row>
    <row r="133" spans="1:5" s="31" customFormat="1" ht="12.75" x14ac:dyDescent="0.2">
      <c r="A133" s="35">
        <f t="shared" si="12"/>
        <v>2007</v>
      </c>
      <c r="B133" s="39">
        <v>39083</v>
      </c>
      <c r="C133" s="33">
        <f>VLOOKUP($B133,dados!$D$4:$G$500,2,FALSE)</f>
        <v>78783.352480000001</v>
      </c>
      <c r="D133" s="33">
        <f>VLOOKUP($B133,dados!$D$4:$G$500,3,FALSE)</f>
        <v>39130.68374</v>
      </c>
      <c r="E133" s="34">
        <f>VLOOKUP($B133,dados!$D$4:$G$500,4,FALSE)</f>
        <v>25816.002260000001</v>
      </c>
    </row>
    <row r="134" spans="1:5" s="31" customFormat="1" ht="12.75" x14ac:dyDescent="0.2">
      <c r="A134" s="35">
        <f t="shared" si="12"/>
        <v>2007</v>
      </c>
      <c r="B134" s="39">
        <v>39114</v>
      </c>
      <c r="C134" s="33">
        <f>VLOOKUP($B134,dados!$D$4:$G$500,2,FALSE)</f>
        <v>84313.151339999997</v>
      </c>
      <c r="D134" s="33">
        <f>VLOOKUP($B134,dados!$D$4:$G$500,3,FALSE)</f>
        <v>42054.304130000004</v>
      </c>
      <c r="E134" s="34">
        <f>VLOOKUP($B134,dados!$D$4:$G$500,4,FALSE)</f>
        <v>25003.947510000002</v>
      </c>
    </row>
    <row r="135" spans="1:5" s="31" customFormat="1" ht="12.75" x14ac:dyDescent="0.2">
      <c r="A135" s="35">
        <f t="shared" si="12"/>
        <v>2007</v>
      </c>
      <c r="B135" s="39">
        <v>39142</v>
      </c>
      <c r="C135" s="33">
        <f>VLOOKUP($B135,dados!$D$4:$G$500,2,FALSE)</f>
        <v>68573.98792</v>
      </c>
      <c r="D135" s="33">
        <f>VLOOKUP($B135,dados!$D$4:$G$500,3,FALSE)</f>
        <v>34203.81349</v>
      </c>
      <c r="E135" s="34">
        <f>VLOOKUP($B135,dados!$D$4:$G$500,4,FALSE)</f>
        <v>22840.874620000002</v>
      </c>
    </row>
    <row r="136" spans="1:5" s="31" customFormat="1" ht="12.75" x14ac:dyDescent="0.2">
      <c r="A136" s="35">
        <f t="shared" si="12"/>
        <v>2007</v>
      </c>
      <c r="B136" s="39">
        <v>39173</v>
      </c>
      <c r="C136" s="33">
        <f>VLOOKUP($B136,dados!$D$4:$G$500,2,FALSE)</f>
        <v>81982</v>
      </c>
      <c r="D136" s="33">
        <f>VLOOKUP($B136,dados!$D$4:$G$500,3,FALSE)</f>
        <v>40895</v>
      </c>
      <c r="E136" s="34">
        <f>VLOOKUP($B136,dados!$D$4:$G$500,4,FALSE)</f>
        <v>26014</v>
      </c>
    </row>
    <row r="137" spans="1:5" s="31" customFormat="1" ht="12.75" x14ac:dyDescent="0.2">
      <c r="A137" s="35">
        <f t="shared" si="12"/>
        <v>2007</v>
      </c>
      <c r="B137" s="39">
        <v>39203</v>
      </c>
      <c r="C137" s="33">
        <f>VLOOKUP($B137,dados!$D$4:$G$500,2,FALSE)</f>
        <v>87823.744310000009</v>
      </c>
      <c r="D137" s="33">
        <f>VLOOKUP($B137,dados!$D$4:$G$500,3,FALSE)</f>
        <v>43844.590549999994</v>
      </c>
      <c r="E137" s="34">
        <f>VLOOKUP($B137,dados!$D$4:$G$500,4,FALSE)</f>
        <v>25899.086660000001</v>
      </c>
    </row>
    <row r="138" spans="1:5" s="31" customFormat="1" ht="12.75" x14ac:dyDescent="0.2">
      <c r="A138" s="35">
        <f t="shared" si="12"/>
        <v>2007</v>
      </c>
      <c r="B138" s="39">
        <v>39234</v>
      </c>
      <c r="C138" s="33">
        <f>VLOOKUP($B138,dados!$D$4:$G$500,2,FALSE)</f>
        <v>89718.294030000005</v>
      </c>
      <c r="D138" s="33">
        <f>VLOOKUP($B138,dados!$D$4:$G$500,3,FALSE)</f>
        <v>44790.414320000003</v>
      </c>
      <c r="E138" s="34">
        <f>VLOOKUP($B138,dados!$D$4:$G$500,4,FALSE)</f>
        <v>27583.53701</v>
      </c>
    </row>
    <row r="139" spans="1:5" s="31" customFormat="1" ht="12.75" x14ac:dyDescent="0.2">
      <c r="A139" s="35">
        <f t="shared" si="12"/>
        <v>2007</v>
      </c>
      <c r="B139" s="39">
        <v>39264</v>
      </c>
      <c r="C139" s="33">
        <f>VLOOKUP($B139,dados!$D$4:$G$500,2,FALSE)</f>
        <v>69772.617549999995</v>
      </c>
      <c r="D139" s="33">
        <f>VLOOKUP($B139,dados!$D$4:$G$500,3,FALSE)</f>
        <v>34832.855630000005</v>
      </c>
      <c r="E139" s="34">
        <f>VLOOKUP($B139,dados!$D$4:$G$500,4,FALSE)</f>
        <v>28245.981399999997</v>
      </c>
    </row>
    <row r="140" spans="1:5" s="31" customFormat="1" ht="12.75" x14ac:dyDescent="0.2">
      <c r="A140" s="35">
        <f t="shared" si="12"/>
        <v>2007</v>
      </c>
      <c r="B140" s="39">
        <v>39295</v>
      </c>
      <c r="C140" s="33">
        <f>VLOOKUP($B140,dados!$D$4:$G$500,2,FALSE)</f>
        <v>73622</v>
      </c>
      <c r="D140" s="33">
        <f>VLOOKUP($B140,dados!$D$4:$G$500,3,FALSE)</f>
        <v>36754</v>
      </c>
      <c r="E140" s="34">
        <f>VLOOKUP($B140,dados!$D$4:$G$500,4,FALSE)</f>
        <v>27915</v>
      </c>
    </row>
    <row r="141" spans="1:5" s="31" customFormat="1" ht="12.75" x14ac:dyDescent="0.2">
      <c r="A141" s="35">
        <f t="shared" si="12"/>
        <v>2007</v>
      </c>
      <c r="B141" s="39">
        <v>39326</v>
      </c>
      <c r="C141" s="33">
        <f>VLOOKUP($B141,dados!$D$4:$G$500,2,FALSE)</f>
        <v>75818</v>
      </c>
      <c r="D141" s="33">
        <f>VLOOKUP($B141,dados!$D$4:$G$500,3,FALSE)</f>
        <v>37851</v>
      </c>
      <c r="E141" s="34">
        <f>VLOOKUP($B141,dados!$D$4:$G$500,4,FALSE)</f>
        <v>34598</v>
      </c>
    </row>
    <row r="142" spans="1:5" s="31" customFormat="1" ht="12.75" x14ac:dyDescent="0.2">
      <c r="A142" s="35">
        <f t="shared" si="12"/>
        <v>2007</v>
      </c>
      <c r="B142" s="39">
        <v>39356</v>
      </c>
      <c r="C142" s="33">
        <f>VLOOKUP($B142,dados!$D$4:$G$500,2,FALSE)</f>
        <v>71741</v>
      </c>
      <c r="D142" s="33">
        <f>VLOOKUP($B142,dados!$D$4:$G$500,3,FALSE)</f>
        <v>35815</v>
      </c>
      <c r="E142" s="34">
        <f>VLOOKUP($B142,dados!$D$4:$G$500,4,FALSE)</f>
        <v>33723</v>
      </c>
    </row>
    <row r="143" spans="1:5" s="31" customFormat="1" ht="12.75" x14ac:dyDescent="0.2">
      <c r="A143" s="35">
        <f t="shared" si="12"/>
        <v>2007</v>
      </c>
      <c r="B143" s="39">
        <v>39387</v>
      </c>
      <c r="C143" s="33">
        <f>VLOOKUP($B143,dados!$D$4:$G$500,2,FALSE)</f>
        <v>84115</v>
      </c>
      <c r="D143" s="33">
        <f>VLOOKUP($B143,dados!$D$4:$G$500,3,FALSE)</f>
        <v>41993</v>
      </c>
      <c r="E143" s="34">
        <f>VLOOKUP($B143,dados!$D$4:$G$500,4,FALSE)</f>
        <v>33240</v>
      </c>
    </row>
    <row r="144" spans="1:5" s="31" customFormat="1" ht="12.75" x14ac:dyDescent="0.2">
      <c r="A144" s="35">
        <f t="shared" si="12"/>
        <v>2007</v>
      </c>
      <c r="B144" s="39">
        <v>39417</v>
      </c>
      <c r="C144" s="33">
        <f>VLOOKUP($B144,dados!$D$4:$G$500,2,FALSE)</f>
        <v>126450</v>
      </c>
      <c r="D144" s="33">
        <f>VLOOKUP($B144,dados!$D$4:$G$500,3,FALSE)</f>
        <v>56847</v>
      </c>
      <c r="E144" s="34">
        <f>VLOOKUP($B144,dados!$D$4:$G$500,4,FALSE)</f>
        <v>37205</v>
      </c>
    </row>
    <row r="145" spans="1:5" s="31" customFormat="1" ht="12.75" x14ac:dyDescent="0.2">
      <c r="A145" s="35"/>
      <c r="B145" s="39"/>
      <c r="C145" s="33"/>
      <c r="D145" s="33"/>
      <c r="E145" s="34"/>
    </row>
    <row r="146" spans="1:5" s="31" customFormat="1" ht="12.75" x14ac:dyDescent="0.2">
      <c r="A146" s="51">
        <f>A147</f>
        <v>2008</v>
      </c>
      <c r="B146" s="43" t="s">
        <v>29</v>
      </c>
      <c r="C146" s="41">
        <f>SUM(C147:C158)</f>
        <v>1251769</v>
      </c>
      <c r="D146" s="41">
        <f t="shared" ref="D146" si="21">SUM(D147:D158)</f>
        <v>585880</v>
      </c>
      <c r="E146" s="42">
        <f t="shared" ref="E146" si="22">SUM(E147:E158)</f>
        <v>423839</v>
      </c>
    </row>
    <row r="147" spans="1:5" s="31" customFormat="1" ht="12.75" x14ac:dyDescent="0.2">
      <c r="A147" s="35">
        <f t="shared" si="12"/>
        <v>2008</v>
      </c>
      <c r="B147" s="39">
        <v>39448</v>
      </c>
      <c r="C147" s="33">
        <f>VLOOKUP($B147,dados!$D$4:$G$500,2,FALSE)</f>
        <v>101683</v>
      </c>
      <c r="D147" s="33">
        <f>VLOOKUP($B147,dados!$D$4:$G$500,3,FALSE)</f>
        <v>50105</v>
      </c>
      <c r="E147" s="34">
        <f>VLOOKUP($B147,dados!$D$4:$G$500,4,FALSE)</f>
        <v>30926</v>
      </c>
    </row>
    <row r="148" spans="1:5" s="31" customFormat="1" ht="12.75" x14ac:dyDescent="0.2">
      <c r="A148" s="35">
        <f t="shared" si="12"/>
        <v>2008</v>
      </c>
      <c r="B148" s="39">
        <v>39479</v>
      </c>
      <c r="C148" s="33">
        <f>VLOOKUP($B148,dados!$D$4:$G$500,2,FALSE)</f>
        <v>111335</v>
      </c>
      <c r="D148" s="33">
        <f>VLOOKUP($B148,dados!$D$4:$G$500,3,FALSE)</f>
        <v>55070</v>
      </c>
      <c r="E148" s="34">
        <f>VLOOKUP($B148,dados!$D$4:$G$500,4,FALSE)</f>
        <v>33391</v>
      </c>
    </row>
    <row r="149" spans="1:5" s="31" customFormat="1" ht="12.75" x14ac:dyDescent="0.2">
      <c r="A149" s="35">
        <f t="shared" si="12"/>
        <v>2008</v>
      </c>
      <c r="B149" s="39">
        <v>39508</v>
      </c>
      <c r="C149" s="33">
        <f>VLOOKUP($B149,dados!$D$4:$G$500,2,FALSE)</f>
        <v>87938</v>
      </c>
      <c r="D149" s="33">
        <f>VLOOKUP($B149,dados!$D$4:$G$500,3,FALSE)</f>
        <v>43376</v>
      </c>
      <c r="E149" s="34">
        <f>VLOOKUP($B149,dados!$D$4:$G$500,4,FALSE)</f>
        <v>33259</v>
      </c>
    </row>
    <row r="150" spans="1:5" s="31" customFormat="1" ht="12.75" x14ac:dyDescent="0.2">
      <c r="A150" s="35">
        <f t="shared" si="12"/>
        <v>2008</v>
      </c>
      <c r="B150" s="39">
        <v>39539</v>
      </c>
      <c r="C150" s="33">
        <f>VLOOKUP($B150,dados!$D$4:$G$500,2,FALSE)</f>
        <v>101932</v>
      </c>
      <c r="D150" s="33">
        <f>VLOOKUP($B150,dados!$D$4:$G$500,3,FALSE)</f>
        <v>50279</v>
      </c>
      <c r="E150" s="34">
        <f>VLOOKUP($B150,dados!$D$4:$G$500,4,FALSE)</f>
        <v>36627</v>
      </c>
    </row>
    <row r="151" spans="1:5" s="31" customFormat="1" ht="12.75" x14ac:dyDescent="0.2">
      <c r="A151" s="35">
        <f t="shared" si="12"/>
        <v>2008</v>
      </c>
      <c r="B151" s="39">
        <v>39569</v>
      </c>
      <c r="C151" s="33">
        <f>VLOOKUP($B151,dados!$D$4:$G$500,2,FALSE)</f>
        <v>107249</v>
      </c>
      <c r="D151" s="33">
        <f>VLOOKUP($B151,dados!$D$4:$G$500,3,FALSE)</f>
        <v>52901</v>
      </c>
      <c r="E151" s="34">
        <f>VLOOKUP($B151,dados!$D$4:$G$500,4,FALSE)</f>
        <v>37145</v>
      </c>
    </row>
    <row r="152" spans="1:5" s="31" customFormat="1" ht="12.75" x14ac:dyDescent="0.2">
      <c r="A152" s="35">
        <f t="shared" si="12"/>
        <v>2008</v>
      </c>
      <c r="B152" s="39">
        <v>39600</v>
      </c>
      <c r="C152" s="33">
        <f>VLOOKUP($B152,dados!$D$4:$G$500,2,FALSE)</f>
        <v>92465</v>
      </c>
      <c r="D152" s="33">
        <f>VLOOKUP($B152,dados!$D$4:$G$500,3,FALSE)</f>
        <v>45609</v>
      </c>
      <c r="E152" s="34">
        <f>VLOOKUP($B152,dados!$D$4:$G$500,4,FALSE)</f>
        <v>35381</v>
      </c>
    </row>
    <row r="153" spans="1:5" s="31" customFormat="1" ht="12.75" x14ac:dyDescent="0.2">
      <c r="A153" s="35">
        <f t="shared" si="12"/>
        <v>2008</v>
      </c>
      <c r="B153" s="39">
        <v>39630</v>
      </c>
      <c r="C153" s="33">
        <f>VLOOKUP($B153,dados!$D$4:$G$500,2,FALSE)</f>
        <v>83741</v>
      </c>
      <c r="D153" s="33">
        <f>VLOOKUP($B153,dados!$D$4:$G$500,3,FALSE)</f>
        <v>41316</v>
      </c>
      <c r="E153" s="34">
        <f>VLOOKUP($B153,dados!$D$4:$G$500,4,FALSE)</f>
        <v>39057</v>
      </c>
    </row>
    <row r="154" spans="1:5" s="31" customFormat="1" ht="12.75" x14ac:dyDescent="0.2">
      <c r="A154" s="35">
        <f t="shared" si="12"/>
        <v>2008</v>
      </c>
      <c r="B154" s="39">
        <v>39661</v>
      </c>
      <c r="C154" s="33">
        <f>VLOOKUP($B154,dados!$D$4:$G$500,2,FALSE)</f>
        <v>102327</v>
      </c>
      <c r="D154" s="33">
        <f>VLOOKUP($B154,dados!$D$4:$G$500,3,FALSE)</f>
        <v>50467</v>
      </c>
      <c r="E154" s="34">
        <f>VLOOKUP($B154,dados!$D$4:$G$500,4,FALSE)</f>
        <v>39812</v>
      </c>
    </row>
    <row r="155" spans="1:5" s="31" customFormat="1" ht="12.75" x14ac:dyDescent="0.2">
      <c r="A155" s="35">
        <f t="shared" si="12"/>
        <v>2008</v>
      </c>
      <c r="B155" s="39">
        <v>39692</v>
      </c>
      <c r="C155" s="33">
        <f>VLOOKUP($B155,dados!$D$4:$G$500,2,FALSE)</f>
        <v>90114</v>
      </c>
      <c r="D155" s="33">
        <f>VLOOKUP($B155,dados!$D$4:$G$500,3,FALSE)</f>
        <v>44443</v>
      </c>
      <c r="E155" s="34">
        <f>VLOOKUP($B155,dados!$D$4:$G$500,4,FALSE)</f>
        <v>39357</v>
      </c>
    </row>
    <row r="156" spans="1:5" s="31" customFormat="1" ht="12.75" x14ac:dyDescent="0.2">
      <c r="A156" s="35">
        <f t="shared" ref="A156:A231" si="23">YEAR(B156)</f>
        <v>2008</v>
      </c>
      <c r="B156" s="39">
        <v>39722</v>
      </c>
      <c r="C156" s="33">
        <f>VLOOKUP($B156,dados!$D$4:$G$500,2,FALSE)</f>
        <v>85764</v>
      </c>
      <c r="D156" s="33">
        <f>VLOOKUP($B156,dados!$D$4:$G$500,3,FALSE)</f>
        <v>42298</v>
      </c>
      <c r="E156" s="34">
        <f>VLOOKUP($B156,dados!$D$4:$G$500,4,FALSE)</f>
        <v>40251</v>
      </c>
    </row>
    <row r="157" spans="1:5" s="31" customFormat="1" ht="12.75" x14ac:dyDescent="0.2">
      <c r="A157" s="35">
        <f t="shared" si="23"/>
        <v>2008</v>
      </c>
      <c r="B157" s="39">
        <v>39753</v>
      </c>
      <c r="C157" s="33">
        <f>VLOOKUP($B157,dados!$D$4:$G$500,2,FALSE)</f>
        <v>108681</v>
      </c>
      <c r="D157" s="33">
        <f>VLOOKUP($B157,dados!$D$4:$G$500,3,FALSE)</f>
        <v>53601</v>
      </c>
      <c r="E157" s="34">
        <f>VLOOKUP($B157,dados!$D$4:$G$500,4,FALSE)</f>
        <v>38570</v>
      </c>
    </row>
    <row r="158" spans="1:5" s="31" customFormat="1" ht="12.75" x14ac:dyDescent="0.2">
      <c r="A158" s="35">
        <f t="shared" si="23"/>
        <v>2008</v>
      </c>
      <c r="B158" s="39">
        <v>39783</v>
      </c>
      <c r="C158" s="33">
        <f>VLOOKUP($B158,dados!$D$4:$G$500,2,FALSE)</f>
        <v>178540</v>
      </c>
      <c r="D158" s="33">
        <f>VLOOKUP($B158,dados!$D$4:$G$500,3,FALSE)</f>
        <v>56415</v>
      </c>
      <c r="E158" s="34">
        <f>VLOOKUP($B158,dados!$D$4:$G$500,4,FALSE)</f>
        <v>20063</v>
      </c>
    </row>
    <row r="159" spans="1:5" s="31" customFormat="1" ht="12.75" x14ac:dyDescent="0.2">
      <c r="A159" s="35"/>
      <c r="B159" s="39"/>
      <c r="C159" s="33"/>
      <c r="D159" s="33"/>
      <c r="E159" s="34"/>
    </row>
    <row r="160" spans="1:5" s="31" customFormat="1" ht="12.75" x14ac:dyDescent="0.2">
      <c r="A160" s="51">
        <f>A161</f>
        <v>2009</v>
      </c>
      <c r="B160" s="43" t="s">
        <v>29</v>
      </c>
      <c r="C160" s="41">
        <f>SUM(C161:C172)</f>
        <v>1176140</v>
      </c>
      <c r="D160" s="41">
        <f t="shared" ref="D160" si="24">SUM(D161:D172)</f>
        <v>553124</v>
      </c>
      <c r="E160" s="42">
        <f t="shared" ref="E160" si="25">SUM(E161:E172)</f>
        <v>358013</v>
      </c>
    </row>
    <row r="161" spans="1:5" s="31" customFormat="1" ht="12.75" x14ac:dyDescent="0.2">
      <c r="A161" s="35">
        <f t="shared" si="23"/>
        <v>2009</v>
      </c>
      <c r="B161" s="39">
        <v>39814</v>
      </c>
      <c r="C161" s="33">
        <f>VLOOKUP($B161,dados!$D$4:$G$500,2,FALSE)</f>
        <v>103800</v>
      </c>
      <c r="D161" s="33">
        <f>VLOOKUP($B161,dados!$D$4:$G$500,3,FALSE)</f>
        <v>51473</v>
      </c>
      <c r="E161" s="34">
        <f>VLOOKUP($B161,dados!$D$4:$G$500,4,FALSE)</f>
        <v>34119</v>
      </c>
    </row>
    <row r="162" spans="1:5" s="31" customFormat="1" ht="12.75" x14ac:dyDescent="0.2">
      <c r="A162" s="35">
        <f t="shared" si="23"/>
        <v>2009</v>
      </c>
      <c r="B162" s="39">
        <v>39845</v>
      </c>
      <c r="C162" s="33">
        <f>VLOOKUP($B162,dados!$D$4:$G$500,2,FALSE)</f>
        <v>96655</v>
      </c>
      <c r="D162" s="33">
        <f>VLOOKUP($B162,dados!$D$4:$G$500,3,FALSE)</f>
        <v>47986</v>
      </c>
      <c r="E162" s="34">
        <f>VLOOKUP($B162,dados!$D$4:$G$500,4,FALSE)</f>
        <v>30860</v>
      </c>
    </row>
    <row r="163" spans="1:5" s="31" customFormat="1" ht="12.75" x14ac:dyDescent="0.2">
      <c r="A163" s="35">
        <f t="shared" si="23"/>
        <v>2009</v>
      </c>
      <c r="B163" s="39">
        <v>39873</v>
      </c>
      <c r="C163" s="33">
        <f>VLOOKUP($B163,dados!$D$4:$G$500,2,FALSE)</f>
        <v>77267</v>
      </c>
      <c r="D163" s="33">
        <f>VLOOKUP($B163,dados!$D$4:$G$500,3,FALSE)</f>
        <v>38361</v>
      </c>
      <c r="E163" s="34">
        <f>VLOOKUP($B163,dados!$D$4:$G$500,4,FALSE)</f>
        <v>23800</v>
      </c>
    </row>
    <row r="164" spans="1:5" s="31" customFormat="1" ht="12.75" x14ac:dyDescent="0.2">
      <c r="A164" s="35">
        <f t="shared" si="23"/>
        <v>2009</v>
      </c>
      <c r="B164" s="39">
        <v>39904</v>
      </c>
      <c r="C164" s="33">
        <f>VLOOKUP($B164,dados!$D$4:$G$500,2,FALSE)</f>
        <v>92235</v>
      </c>
      <c r="D164" s="33">
        <f>VLOOKUP($B164,dados!$D$4:$G$500,3,FALSE)</f>
        <v>45658</v>
      </c>
      <c r="E164" s="34">
        <f>VLOOKUP($B164,dados!$D$4:$G$500,4,FALSE)</f>
        <v>22128</v>
      </c>
    </row>
    <row r="165" spans="1:5" s="31" customFormat="1" ht="12.75" x14ac:dyDescent="0.2">
      <c r="A165" s="35">
        <f t="shared" si="23"/>
        <v>2009</v>
      </c>
      <c r="B165" s="39">
        <v>39934</v>
      </c>
      <c r="C165" s="33">
        <f>VLOOKUP($B165,dados!$D$4:$G$500,2,FALSE)</f>
        <v>109570</v>
      </c>
      <c r="D165" s="33">
        <f>VLOOKUP($B165,dados!$D$4:$G$500,3,FALSE)</f>
        <v>54379</v>
      </c>
      <c r="E165" s="34">
        <f>VLOOKUP($B165,dados!$D$4:$G$500,4,FALSE)</f>
        <v>30157</v>
      </c>
    </row>
    <row r="166" spans="1:5" s="31" customFormat="1" ht="12.75" x14ac:dyDescent="0.2">
      <c r="A166" s="35">
        <f t="shared" si="23"/>
        <v>2009</v>
      </c>
      <c r="B166" s="39">
        <v>39965</v>
      </c>
      <c r="C166" s="33">
        <f>VLOOKUP($B166,dados!$D$4:$G$500,2,FALSE)</f>
        <v>94537</v>
      </c>
      <c r="D166" s="33">
        <f>VLOOKUP($B166,dados!$D$4:$G$500,3,FALSE)</f>
        <v>46935</v>
      </c>
      <c r="E166" s="34">
        <f>VLOOKUP($B166,dados!$D$4:$G$500,4,FALSE)</f>
        <v>27857</v>
      </c>
    </row>
    <row r="167" spans="1:5" s="31" customFormat="1" ht="12.75" x14ac:dyDescent="0.2">
      <c r="A167" s="35">
        <f t="shared" si="23"/>
        <v>2009</v>
      </c>
      <c r="B167" s="39">
        <v>39995</v>
      </c>
      <c r="C167" s="33">
        <f>VLOOKUP($B167,dados!$D$4:$G$500,2,FALSE)</f>
        <v>72538</v>
      </c>
      <c r="D167" s="33">
        <f>VLOOKUP($B167,dados!$D$4:$G$500,3,FALSE)</f>
        <v>36013</v>
      </c>
      <c r="E167" s="34">
        <f>VLOOKUP($B167,dados!$D$4:$G$500,4,FALSE)</f>
        <v>25595</v>
      </c>
    </row>
    <row r="168" spans="1:5" s="31" customFormat="1" ht="12.75" x14ac:dyDescent="0.2">
      <c r="A168" s="35">
        <f t="shared" si="23"/>
        <v>2009</v>
      </c>
      <c r="B168" s="39">
        <v>40026</v>
      </c>
      <c r="C168" s="33">
        <f>VLOOKUP($B168,dados!$D$4:$G$500,2,FALSE)</f>
        <v>84377</v>
      </c>
      <c r="D168" s="33">
        <f>VLOOKUP($B168,dados!$D$4:$G$500,3,FALSE)</f>
        <v>41895</v>
      </c>
      <c r="E168" s="34">
        <f>VLOOKUP($B168,dados!$D$4:$G$500,4,FALSE)</f>
        <v>27618</v>
      </c>
    </row>
    <row r="169" spans="1:5" s="31" customFormat="1" ht="12.75" x14ac:dyDescent="0.2">
      <c r="A169" s="35">
        <f t="shared" si="23"/>
        <v>2009</v>
      </c>
      <c r="B169" s="39">
        <v>40057</v>
      </c>
      <c r="C169" s="33">
        <f>VLOOKUP($B169,dados!$D$4:$G$500,2,FALSE)</f>
        <v>74678</v>
      </c>
      <c r="D169" s="33">
        <f>VLOOKUP($B169,dados!$D$4:$G$500,3,FALSE)</f>
        <v>37086</v>
      </c>
      <c r="E169" s="34">
        <f>VLOOKUP($B169,dados!$D$4:$G$500,4,FALSE)</f>
        <v>28629</v>
      </c>
    </row>
    <row r="170" spans="1:5" s="31" customFormat="1" ht="12.75" x14ac:dyDescent="0.2">
      <c r="A170" s="35">
        <f t="shared" si="23"/>
        <v>2009</v>
      </c>
      <c r="B170" s="39">
        <v>40087</v>
      </c>
      <c r="C170" s="33">
        <f>VLOOKUP($B170,dados!$D$4:$G$500,2,FALSE)</f>
        <v>85904</v>
      </c>
      <c r="D170" s="33">
        <f>VLOOKUP($B170,dados!$D$4:$G$500,3,FALSE)</f>
        <v>42662</v>
      </c>
      <c r="E170" s="34">
        <f>VLOOKUP($B170,dados!$D$4:$G$500,4,FALSE)</f>
        <v>36418</v>
      </c>
    </row>
    <row r="171" spans="1:5" s="31" customFormat="1" ht="12.75" x14ac:dyDescent="0.2">
      <c r="A171" s="35">
        <f t="shared" si="23"/>
        <v>2009</v>
      </c>
      <c r="B171" s="39">
        <v>40118</v>
      </c>
      <c r="C171" s="33">
        <f>VLOOKUP($B171,dados!$D$4:$G$500,2,FALSE)</f>
        <v>107156</v>
      </c>
      <c r="D171" s="33">
        <f>VLOOKUP($B171,dados!$D$4:$G$500,3,FALSE)</f>
        <v>53253</v>
      </c>
      <c r="E171" s="34">
        <f>VLOOKUP($B171,dados!$D$4:$G$500,4,FALSE)</f>
        <v>28892</v>
      </c>
    </row>
    <row r="172" spans="1:5" s="31" customFormat="1" ht="12.75" x14ac:dyDescent="0.2">
      <c r="A172" s="35">
        <f t="shared" si="23"/>
        <v>2009</v>
      </c>
      <c r="B172" s="39">
        <v>40148</v>
      </c>
      <c r="C172" s="33">
        <f>VLOOKUP($B172,dados!$D$4:$G$500,2,FALSE)</f>
        <v>177423</v>
      </c>
      <c r="D172" s="33">
        <f>VLOOKUP($B172,dados!$D$4:$G$500,3,FALSE)</f>
        <v>57423</v>
      </c>
      <c r="E172" s="34">
        <f>VLOOKUP($B172,dados!$D$4:$G$500,4,FALSE)</f>
        <v>41940</v>
      </c>
    </row>
    <row r="173" spans="1:5" s="31" customFormat="1" ht="12.75" x14ac:dyDescent="0.2">
      <c r="A173" s="35"/>
      <c r="B173" s="39"/>
      <c r="C173" s="33"/>
      <c r="D173" s="33"/>
      <c r="E173" s="34"/>
    </row>
    <row r="174" spans="1:5" s="31" customFormat="1" ht="12.75" x14ac:dyDescent="0.2">
      <c r="A174" s="51">
        <f>A175</f>
        <v>2010</v>
      </c>
      <c r="B174" s="43" t="s">
        <v>29</v>
      </c>
      <c r="C174" s="41">
        <f>SUM(C175:C186)</f>
        <v>1301949</v>
      </c>
      <c r="D174" s="41">
        <f t="shared" ref="D174" si="26">SUM(D175:D186)</f>
        <v>596171.71719</v>
      </c>
      <c r="E174" s="42">
        <f t="shared" ref="E174" si="27">SUM(E175:E186)</f>
        <v>465225.28819000005</v>
      </c>
    </row>
    <row r="175" spans="1:5" s="31" customFormat="1" ht="12.75" x14ac:dyDescent="0.2">
      <c r="A175" s="35">
        <f t="shared" si="23"/>
        <v>2010</v>
      </c>
      <c r="B175" s="39">
        <v>40179</v>
      </c>
      <c r="C175" s="33">
        <f>VLOOKUP($B175,dados!$D$4:$G$500,2,FALSE)</f>
        <v>91677</v>
      </c>
      <c r="D175" s="33">
        <f>VLOOKUP($B175,dados!$D$4:$G$500,3,FALSE)</f>
        <v>44220</v>
      </c>
      <c r="E175" s="34">
        <f>VLOOKUP($B175,dados!$D$4:$G$500,4,FALSE)</f>
        <v>35781</v>
      </c>
    </row>
    <row r="176" spans="1:5" s="31" customFormat="1" ht="12.75" x14ac:dyDescent="0.2">
      <c r="A176" s="35">
        <f t="shared" si="23"/>
        <v>2010</v>
      </c>
      <c r="B176" s="39">
        <v>40210</v>
      </c>
      <c r="C176" s="33">
        <f>VLOOKUP($B176,dados!$D$4:$G$500,2,FALSE)</f>
        <v>111987</v>
      </c>
      <c r="D176" s="33">
        <f>VLOOKUP($B176,dados!$D$4:$G$500,3,FALSE)</f>
        <v>53990</v>
      </c>
      <c r="E176" s="34">
        <f>VLOOKUP($B176,dados!$D$4:$G$500,4,FALSE)</f>
        <v>34809</v>
      </c>
    </row>
    <row r="177" spans="1:5" s="31" customFormat="1" ht="12.75" x14ac:dyDescent="0.2">
      <c r="A177" s="35">
        <f t="shared" si="23"/>
        <v>2010</v>
      </c>
      <c r="B177" s="39">
        <v>40238</v>
      </c>
      <c r="C177" s="33">
        <f>VLOOKUP($B177,dados!$D$4:$G$500,2,FALSE)</f>
        <v>83191</v>
      </c>
      <c r="D177" s="33">
        <f>VLOOKUP($B177,dados!$D$4:$G$500,3,FALSE)</f>
        <v>40107</v>
      </c>
      <c r="E177" s="34">
        <f>VLOOKUP($B177,dados!$D$4:$G$500,4,FALSE)</f>
        <v>31824</v>
      </c>
    </row>
    <row r="178" spans="1:5" s="31" customFormat="1" ht="12.75" x14ac:dyDescent="0.2">
      <c r="A178" s="35">
        <f t="shared" si="23"/>
        <v>2010</v>
      </c>
      <c r="B178" s="39">
        <v>40269</v>
      </c>
      <c r="C178" s="33">
        <f>VLOOKUP($B178,dados!$D$4:$G$500,2,FALSE)</f>
        <v>99675</v>
      </c>
      <c r="D178" s="33">
        <f>VLOOKUP($B178,dados!$D$4:$G$500,3,FALSE)</f>
        <v>48054</v>
      </c>
      <c r="E178" s="34">
        <f>VLOOKUP($B178,dados!$D$4:$G$500,4,FALSE)</f>
        <v>33540</v>
      </c>
    </row>
    <row r="179" spans="1:5" s="31" customFormat="1" ht="12.75" x14ac:dyDescent="0.2">
      <c r="A179" s="35">
        <f t="shared" si="23"/>
        <v>2010</v>
      </c>
      <c r="B179" s="39">
        <v>40299</v>
      </c>
      <c r="C179" s="33">
        <f>VLOOKUP($B179,dados!$D$4:$G$500,2,FALSE)</f>
        <v>122631</v>
      </c>
      <c r="D179" s="33">
        <f>VLOOKUP($B179,dados!$D$4:$G$500,3,FALSE)</f>
        <v>59164</v>
      </c>
      <c r="E179" s="34">
        <f>VLOOKUP($B179,dados!$D$4:$G$500,4,FALSE)</f>
        <v>33049</v>
      </c>
    </row>
    <row r="180" spans="1:5" s="31" customFormat="1" ht="12.75" x14ac:dyDescent="0.2">
      <c r="A180" s="35">
        <f t="shared" si="23"/>
        <v>2010</v>
      </c>
      <c r="B180" s="39">
        <v>40330</v>
      </c>
      <c r="C180" s="33">
        <f>VLOOKUP($B180,dados!$D$4:$G$500,2,FALSE)</f>
        <v>106136</v>
      </c>
      <c r="D180" s="33">
        <f>VLOOKUP($B180,dados!$D$4:$G$500,3,FALSE)</f>
        <v>51347</v>
      </c>
      <c r="E180" s="34">
        <f>VLOOKUP($B180,dados!$D$4:$G$500,4,FALSE)</f>
        <v>38615</v>
      </c>
    </row>
    <row r="181" spans="1:5" s="31" customFormat="1" ht="12.75" x14ac:dyDescent="0.2">
      <c r="A181" s="35">
        <f t="shared" si="23"/>
        <v>2010</v>
      </c>
      <c r="B181" s="39">
        <v>40360</v>
      </c>
      <c r="C181" s="33">
        <f>VLOOKUP($B181,dados!$D$4:$G$500,2,FALSE)</f>
        <v>77957</v>
      </c>
      <c r="D181" s="33">
        <f>VLOOKUP($B181,dados!$D$4:$G$500,3,FALSE)</f>
        <v>37757</v>
      </c>
      <c r="E181" s="34">
        <f>VLOOKUP($B181,dados!$D$4:$G$500,4,FALSE)</f>
        <v>41113</v>
      </c>
    </row>
    <row r="182" spans="1:5" s="31" customFormat="1" ht="12.75" x14ac:dyDescent="0.2">
      <c r="A182" s="35">
        <f t="shared" si="23"/>
        <v>2010</v>
      </c>
      <c r="B182" s="39">
        <v>40391</v>
      </c>
      <c r="C182" s="33">
        <f>VLOOKUP($B182,dados!$D$4:$G$500,2,FALSE)</f>
        <v>104442</v>
      </c>
      <c r="D182" s="33">
        <f>VLOOKUP($B182,dados!$D$4:$G$500,3,FALSE)</f>
        <v>50602</v>
      </c>
      <c r="E182" s="34">
        <f>VLOOKUP($B182,dados!$D$4:$G$500,4,FALSE)</f>
        <v>39782</v>
      </c>
    </row>
    <row r="183" spans="1:5" s="31" customFormat="1" ht="12.75" x14ac:dyDescent="0.2">
      <c r="A183" s="35">
        <f t="shared" si="23"/>
        <v>2010</v>
      </c>
      <c r="B183" s="39">
        <v>40422</v>
      </c>
      <c r="C183" s="33">
        <f>VLOOKUP($B183,dados!$D$4:$G$500,2,FALSE)</f>
        <v>87518</v>
      </c>
      <c r="D183" s="33">
        <f>VLOOKUP($B183,dados!$D$4:$G$500,3,FALSE)</f>
        <v>42241</v>
      </c>
      <c r="E183" s="34">
        <f>VLOOKUP($B183,dados!$D$4:$G$500,4,FALSE)</f>
        <v>39686</v>
      </c>
    </row>
    <row r="184" spans="1:5" s="31" customFormat="1" ht="12.75" x14ac:dyDescent="0.2">
      <c r="A184" s="35">
        <f t="shared" si="23"/>
        <v>2010</v>
      </c>
      <c r="B184" s="39">
        <v>40452</v>
      </c>
      <c r="C184" s="33">
        <f>VLOOKUP($B184,dados!$D$4:$G$500,2,FALSE)</f>
        <v>94212</v>
      </c>
      <c r="D184" s="33">
        <f>VLOOKUP($B184,dados!$D$4:$G$500,3,FALSE)</f>
        <v>45472.01885</v>
      </c>
      <c r="E184" s="34">
        <f>VLOOKUP($B184,dados!$D$4:$G$500,4,FALSE)</f>
        <v>41302.099730000002</v>
      </c>
    </row>
    <row r="185" spans="1:5" s="31" customFormat="1" ht="12.75" x14ac:dyDescent="0.2">
      <c r="A185" s="35">
        <f t="shared" si="23"/>
        <v>2010</v>
      </c>
      <c r="B185" s="39">
        <v>40483</v>
      </c>
      <c r="C185" s="33">
        <f>VLOOKUP($B185,dados!$D$4:$G$500,2,FALSE)</f>
        <v>112938</v>
      </c>
      <c r="D185" s="33">
        <f>VLOOKUP($B185,dados!$D$4:$G$500,3,FALSE)</f>
        <v>54510.241150000002</v>
      </c>
      <c r="E185" s="34">
        <f>VLOOKUP($B185,dados!$D$4:$G$500,4,FALSE)</f>
        <v>43998.204579999998</v>
      </c>
    </row>
    <row r="186" spans="1:5" s="31" customFormat="1" ht="12.75" x14ac:dyDescent="0.2">
      <c r="A186" s="35">
        <f t="shared" si="23"/>
        <v>2010</v>
      </c>
      <c r="B186" s="39">
        <v>40513</v>
      </c>
      <c r="C186" s="33">
        <f>VLOOKUP($B186,dados!$D$4:$G$500,2,FALSE)</f>
        <v>209585</v>
      </c>
      <c r="D186" s="33">
        <f>VLOOKUP($B186,dados!$D$4:$G$500,3,FALSE)</f>
        <v>68707.457190000001</v>
      </c>
      <c r="E186" s="34">
        <f>VLOOKUP($B186,dados!$D$4:$G$500,4,FALSE)</f>
        <v>51725.98388</v>
      </c>
    </row>
    <row r="187" spans="1:5" s="31" customFormat="1" ht="12.75" x14ac:dyDescent="0.2">
      <c r="A187" s="35"/>
      <c r="B187" s="39"/>
      <c r="C187" s="33"/>
      <c r="D187" s="33"/>
      <c r="E187" s="34"/>
    </row>
    <row r="188" spans="1:5" s="31" customFormat="1" ht="12.75" x14ac:dyDescent="0.2">
      <c r="A188" s="51">
        <f>A189</f>
        <v>2011</v>
      </c>
      <c r="B188" s="43" t="s">
        <v>29</v>
      </c>
      <c r="C188" s="41">
        <f>SUM(C189:C200)</f>
        <v>1557987</v>
      </c>
      <c r="D188" s="41">
        <f t="shared" ref="D188" si="28">SUM(D189:D200)</f>
        <v>734368.98347999994</v>
      </c>
      <c r="E188" s="42">
        <f t="shared" ref="E188" si="29">SUM(E189:E200)</f>
        <v>626052.57657000003</v>
      </c>
    </row>
    <row r="189" spans="1:5" s="31" customFormat="1" ht="12.75" x14ac:dyDescent="0.2">
      <c r="A189" s="35">
        <f t="shared" si="23"/>
        <v>2011</v>
      </c>
      <c r="B189" s="39">
        <v>40544</v>
      </c>
      <c r="C189" s="33">
        <f>VLOOKUP($B189,dados!$D$4:$G$500,2,FALSE)</f>
        <v>133984</v>
      </c>
      <c r="D189" s="33">
        <f>VLOOKUP($B189,dados!$D$4:$G$500,3,FALSE)</f>
        <v>66674.753410000005</v>
      </c>
      <c r="E189" s="34">
        <f>VLOOKUP($B189,dados!$D$4:$G$500,4,FALSE)</f>
        <v>56417.286760000003</v>
      </c>
    </row>
    <row r="190" spans="1:5" s="31" customFormat="1" ht="12.75" x14ac:dyDescent="0.2">
      <c r="A190" s="35">
        <f t="shared" si="23"/>
        <v>2011</v>
      </c>
      <c r="B190" s="39">
        <v>40575</v>
      </c>
      <c r="C190" s="33">
        <f>VLOOKUP($B190,dados!$D$4:$G$500,2,FALSE)</f>
        <v>144135</v>
      </c>
      <c r="D190" s="33">
        <f>VLOOKUP($B190,dados!$D$4:$G$500,3,FALSE)</f>
        <v>71832.272899999996</v>
      </c>
      <c r="E190" s="34">
        <f>VLOOKUP($B190,dados!$D$4:$G$500,4,FALSE)</f>
        <v>53071.958440000002</v>
      </c>
    </row>
    <row r="191" spans="1:5" s="31" customFormat="1" ht="12.75" x14ac:dyDescent="0.2">
      <c r="A191" s="35">
        <f t="shared" si="23"/>
        <v>2011</v>
      </c>
      <c r="B191" s="39">
        <v>40603</v>
      </c>
      <c r="C191" s="33">
        <f>VLOOKUP($B191,dados!$D$4:$G$500,2,FALSE)</f>
        <v>94317</v>
      </c>
      <c r="D191" s="33">
        <f>VLOOKUP($B191,dados!$D$4:$G$500,3,FALSE)</f>
        <v>46893.566789999997</v>
      </c>
      <c r="E191" s="34">
        <f>VLOOKUP($B191,dados!$D$4:$G$500,4,FALSE)</f>
        <v>38982</v>
      </c>
    </row>
    <row r="192" spans="1:5" s="31" customFormat="1" ht="12.75" x14ac:dyDescent="0.2">
      <c r="A192" s="35">
        <f t="shared" si="23"/>
        <v>2011</v>
      </c>
      <c r="B192" s="39">
        <v>40634</v>
      </c>
      <c r="C192" s="33">
        <f>VLOOKUP($B192,dados!$D$4:$G$500,2,FALSE)</f>
        <v>125017</v>
      </c>
      <c r="D192" s="33">
        <f>VLOOKUP($B192,dados!$D$4:$G$500,3,FALSE)</f>
        <v>62157.273289999997</v>
      </c>
      <c r="E192" s="34">
        <f>VLOOKUP($B192,dados!$D$4:$G$500,4,FALSE)</f>
        <v>52660.838730000003</v>
      </c>
    </row>
    <row r="193" spans="1:5" s="31" customFormat="1" ht="12.75" x14ac:dyDescent="0.2">
      <c r="A193" s="35">
        <f t="shared" si="23"/>
        <v>2011</v>
      </c>
      <c r="B193" s="39">
        <v>40664</v>
      </c>
      <c r="C193" s="33">
        <f>VLOOKUP($B193,dados!$D$4:$G$500,2,FALSE)</f>
        <v>143493</v>
      </c>
      <c r="D193" s="33">
        <f>VLOOKUP($B193,dados!$D$4:$G$500,3,FALSE)</f>
        <v>71343.543470000004</v>
      </c>
      <c r="E193" s="34">
        <f>VLOOKUP($B193,dados!$D$4:$G$500,4,FALSE)</f>
        <v>44380.867579999998</v>
      </c>
    </row>
    <row r="194" spans="1:5" s="31" customFormat="1" ht="12.75" x14ac:dyDescent="0.2">
      <c r="A194" s="35">
        <f t="shared" si="23"/>
        <v>2011</v>
      </c>
      <c r="B194" s="39">
        <v>40695</v>
      </c>
      <c r="C194" s="33">
        <f>VLOOKUP($B194,dados!$D$4:$G$500,2,FALSE)</f>
        <v>129512</v>
      </c>
      <c r="D194" s="33">
        <f>VLOOKUP($B194,dados!$D$4:$G$500,3,FALSE)</f>
        <v>64392.573620000003</v>
      </c>
      <c r="E194" s="34">
        <f>VLOOKUP($B194,dados!$D$4:$G$500,4,FALSE)</f>
        <v>49063.625059999998</v>
      </c>
    </row>
    <row r="195" spans="1:5" s="31" customFormat="1" ht="12.75" x14ac:dyDescent="0.2">
      <c r="A195" s="35">
        <f t="shared" si="23"/>
        <v>2011</v>
      </c>
      <c r="B195" s="39">
        <v>40725</v>
      </c>
      <c r="C195" s="33">
        <f>VLOOKUP($B195,dados!$D$4:$G$500,2,FALSE)</f>
        <v>110173</v>
      </c>
      <c r="D195" s="33">
        <f>VLOOKUP($B195,dados!$D$4:$G$500,3,FALSE)</f>
        <v>54777</v>
      </c>
      <c r="E195" s="34">
        <f>VLOOKUP($B195,dados!$D$4:$G$500,4,FALSE)</f>
        <v>48218</v>
      </c>
    </row>
    <row r="196" spans="1:5" s="31" customFormat="1" ht="12.75" x14ac:dyDescent="0.2">
      <c r="A196" s="35">
        <f t="shared" si="23"/>
        <v>2011</v>
      </c>
      <c r="B196" s="39">
        <v>40756</v>
      </c>
      <c r="C196" s="33">
        <f>VLOOKUP($B196,dados!$D$4:$G$500,2,FALSE)</f>
        <v>113646</v>
      </c>
      <c r="D196" s="33">
        <f>VLOOKUP($B196,dados!$D$4:$G$500,3,FALSE)</f>
        <v>56504</v>
      </c>
      <c r="E196" s="34">
        <f>VLOOKUP($B196,dados!$D$4:$G$500,4,FALSE)</f>
        <v>48385</v>
      </c>
    </row>
    <row r="197" spans="1:5" s="31" customFormat="1" ht="12.75" x14ac:dyDescent="0.2">
      <c r="A197" s="35">
        <f t="shared" si="23"/>
        <v>2011</v>
      </c>
      <c r="B197" s="39">
        <v>40787</v>
      </c>
      <c r="C197" s="33">
        <f>VLOOKUP($B197,dados!$D$4:$G$500,2,FALSE)</f>
        <v>90682</v>
      </c>
      <c r="D197" s="33">
        <f>VLOOKUP($B197,dados!$D$4:$G$500,3,FALSE)</f>
        <v>45109</v>
      </c>
      <c r="E197" s="34">
        <f>VLOOKUP($B197,dados!$D$4:$G$500,4,FALSE)</f>
        <v>44854</v>
      </c>
    </row>
    <row r="198" spans="1:5" s="31" customFormat="1" ht="12.75" x14ac:dyDescent="0.2">
      <c r="A198" s="35">
        <f t="shared" si="23"/>
        <v>2011</v>
      </c>
      <c r="B198" s="39">
        <v>40817</v>
      </c>
      <c r="C198" s="33">
        <f>VLOOKUP($B198,dados!$D$4:$G$500,2,FALSE)</f>
        <v>119129</v>
      </c>
      <c r="D198" s="33">
        <f>VLOOKUP($B198,dados!$D$4:$G$500,3,FALSE)</f>
        <v>59292</v>
      </c>
      <c r="E198" s="34">
        <f>VLOOKUP($B198,dados!$D$4:$G$500,4,FALSE)</f>
        <v>63364</v>
      </c>
    </row>
    <row r="199" spans="1:5" s="31" customFormat="1" ht="12.75" x14ac:dyDescent="0.2">
      <c r="A199" s="35">
        <f t="shared" si="23"/>
        <v>2011</v>
      </c>
      <c r="B199" s="39">
        <v>40848</v>
      </c>
      <c r="C199" s="33">
        <f>VLOOKUP($B199,dados!$D$4:$G$500,2,FALSE)</f>
        <v>125869</v>
      </c>
      <c r="D199" s="33">
        <f>VLOOKUP($B199,dados!$D$4:$G$500,3,FALSE)</f>
        <v>62635</v>
      </c>
      <c r="E199" s="34">
        <f>VLOOKUP($B199,dados!$D$4:$G$500,4,FALSE)</f>
        <v>59429</v>
      </c>
    </row>
    <row r="200" spans="1:5" s="31" customFormat="1" ht="12.75" x14ac:dyDescent="0.2">
      <c r="A200" s="35">
        <f t="shared" si="23"/>
        <v>2011</v>
      </c>
      <c r="B200" s="39">
        <v>40878</v>
      </c>
      <c r="C200" s="33">
        <f>VLOOKUP($B200,dados!$D$4:$G$500,2,FALSE)</f>
        <v>228030</v>
      </c>
      <c r="D200" s="33">
        <f>VLOOKUP($B200,dados!$D$4:$G$500,3,FALSE)</f>
        <v>72758</v>
      </c>
      <c r="E200" s="34">
        <f>VLOOKUP($B200,dados!$D$4:$G$500,4,FALSE)</f>
        <v>67226</v>
      </c>
    </row>
    <row r="201" spans="1:5" s="31" customFormat="1" ht="12.75" x14ac:dyDescent="0.2">
      <c r="A201" s="35"/>
      <c r="B201" s="39"/>
      <c r="C201" s="33"/>
      <c r="D201" s="33"/>
      <c r="E201" s="34"/>
    </row>
    <row r="202" spans="1:5" s="31" customFormat="1" ht="12.75" x14ac:dyDescent="0.2">
      <c r="A202" s="51">
        <f>A203</f>
        <v>2012</v>
      </c>
      <c r="B202" s="43" t="s">
        <v>29</v>
      </c>
      <c r="C202" s="41">
        <f>SUM(C203:C214)</f>
        <v>1650224</v>
      </c>
      <c r="D202" s="41">
        <f t="shared" ref="D202" si="30">SUM(D203:D214)</f>
        <v>750653</v>
      </c>
      <c r="E202" s="42">
        <f t="shared" ref="E202" si="31">SUM(E203:E214)</f>
        <v>610376</v>
      </c>
    </row>
    <row r="203" spans="1:5" s="31" customFormat="1" ht="12.75" x14ac:dyDescent="0.2">
      <c r="A203" s="35">
        <f t="shared" si="23"/>
        <v>2012</v>
      </c>
      <c r="B203" s="39">
        <v>40909</v>
      </c>
      <c r="C203" s="33">
        <f>VLOOKUP($B203,dados!$D$4:$G$500,2,FALSE)</f>
        <v>137005</v>
      </c>
      <c r="D203" s="33">
        <f>VLOOKUP($B203,dados!$D$4:$G$500,3,FALSE)</f>
        <v>66351</v>
      </c>
      <c r="E203" s="34">
        <f>VLOOKUP($B203,dados!$D$4:$G$500,4,FALSE)</f>
        <v>25860</v>
      </c>
    </row>
    <row r="204" spans="1:5" s="31" customFormat="1" ht="12.75" x14ac:dyDescent="0.2">
      <c r="A204" s="35">
        <f t="shared" si="23"/>
        <v>2012</v>
      </c>
      <c r="B204" s="39">
        <v>40940</v>
      </c>
      <c r="C204" s="33">
        <f>VLOOKUP($B204,dados!$D$4:$G$500,2,FALSE)</f>
        <v>165728</v>
      </c>
      <c r="D204" s="33">
        <f>VLOOKUP($B204,dados!$D$4:$G$500,3,FALSE)</f>
        <v>80261</v>
      </c>
      <c r="E204" s="34">
        <f>VLOOKUP($B204,dados!$D$4:$G$500,4,FALSE)</f>
        <v>54023</v>
      </c>
    </row>
    <row r="205" spans="1:5" s="31" customFormat="1" ht="12.75" x14ac:dyDescent="0.2">
      <c r="A205" s="35">
        <f t="shared" si="23"/>
        <v>2012</v>
      </c>
      <c r="B205" s="39">
        <v>40969</v>
      </c>
      <c r="C205" s="33">
        <f>VLOOKUP($B205,dados!$D$4:$G$500,2,FALSE)</f>
        <v>112556</v>
      </c>
      <c r="D205" s="33">
        <f>VLOOKUP($B205,dados!$D$4:$G$500,3,FALSE)</f>
        <v>54510</v>
      </c>
      <c r="E205" s="34">
        <f>VLOOKUP($B205,dados!$D$4:$G$500,4,FALSE)</f>
        <v>48117</v>
      </c>
    </row>
    <row r="206" spans="1:5" s="31" customFormat="1" ht="12.75" x14ac:dyDescent="0.2">
      <c r="A206" s="35">
        <f t="shared" si="23"/>
        <v>2012</v>
      </c>
      <c r="B206" s="39">
        <v>41000</v>
      </c>
      <c r="C206" s="33">
        <f>VLOOKUP($B206,dados!$D$4:$G$500,2,FALSE)</f>
        <v>141857</v>
      </c>
      <c r="D206" s="33">
        <f>VLOOKUP($B206,dados!$D$4:$G$500,3,FALSE)</f>
        <v>62157</v>
      </c>
      <c r="E206" s="34">
        <f>VLOOKUP($B206,dados!$D$4:$G$500,4,FALSE)</f>
        <v>52661</v>
      </c>
    </row>
    <row r="207" spans="1:5" s="31" customFormat="1" ht="12.75" x14ac:dyDescent="0.2">
      <c r="A207" s="35">
        <f t="shared" si="23"/>
        <v>2012</v>
      </c>
      <c r="B207" s="39">
        <v>41030</v>
      </c>
      <c r="C207" s="33">
        <f>VLOOKUP($B207,dados!$D$4:$G$500,2,FALSE)</f>
        <v>158657</v>
      </c>
      <c r="D207" s="33">
        <f>VLOOKUP($B207,dados!$D$4:$G$500,3,FALSE)</f>
        <v>76837</v>
      </c>
      <c r="E207" s="34">
        <f>VLOOKUP($B207,dados!$D$4:$G$500,4,FALSE)</f>
        <v>57788</v>
      </c>
    </row>
    <row r="208" spans="1:5" s="31" customFormat="1" ht="12.75" x14ac:dyDescent="0.2">
      <c r="A208" s="35">
        <f t="shared" si="23"/>
        <v>2012</v>
      </c>
      <c r="B208" s="39">
        <v>41061</v>
      </c>
      <c r="C208" s="33">
        <f>VLOOKUP($B208,dados!$D$4:$G$500,2,FALSE)</f>
        <v>135390</v>
      </c>
      <c r="D208" s="33">
        <f>VLOOKUP($B208,dados!$D$4:$G$500,3,FALSE)</f>
        <v>65569</v>
      </c>
      <c r="E208" s="34">
        <f>VLOOKUP($B208,dados!$D$4:$G$500,4,FALSE)</f>
        <v>51626</v>
      </c>
    </row>
    <row r="209" spans="1:5" s="31" customFormat="1" ht="12.75" x14ac:dyDescent="0.2">
      <c r="A209" s="35">
        <f t="shared" si="23"/>
        <v>2012</v>
      </c>
      <c r="B209" s="39">
        <v>41091</v>
      </c>
      <c r="C209" s="33">
        <f>VLOOKUP($B209,dados!$D$4:$G$500,2,FALSE)</f>
        <v>101105</v>
      </c>
      <c r="D209" s="33">
        <f>VLOOKUP($B209,dados!$D$4:$G$500,3,FALSE)</f>
        <v>48965</v>
      </c>
      <c r="E209" s="34">
        <f>VLOOKUP($B209,dados!$D$4:$G$500,4,FALSE)</f>
        <v>48143</v>
      </c>
    </row>
    <row r="210" spans="1:5" s="31" customFormat="1" ht="12.75" x14ac:dyDescent="0.2">
      <c r="A210" s="35">
        <f t="shared" si="23"/>
        <v>2012</v>
      </c>
      <c r="B210" s="39">
        <v>41122</v>
      </c>
      <c r="C210" s="33">
        <f>VLOOKUP($B210,dados!$D$4:$G$500,2,FALSE)</f>
        <v>111567</v>
      </c>
      <c r="D210" s="33">
        <f>VLOOKUP($B210,dados!$D$4:$G$500,3,FALSE)</f>
        <v>54031</v>
      </c>
      <c r="E210" s="34">
        <f>VLOOKUP($B210,dados!$D$4:$G$500,4,FALSE)</f>
        <v>53213</v>
      </c>
    </row>
    <row r="211" spans="1:5" s="31" customFormat="1" ht="12.75" x14ac:dyDescent="0.2">
      <c r="A211" s="35">
        <f t="shared" si="23"/>
        <v>2012</v>
      </c>
      <c r="B211" s="39">
        <v>41153</v>
      </c>
      <c r="C211" s="33">
        <f>VLOOKUP($B211,dados!$D$4:$G$500,2,FALSE)</f>
        <v>97619</v>
      </c>
      <c r="D211" s="33">
        <f>VLOOKUP($B211,dados!$D$4:$G$500,3,FALSE)</f>
        <v>47277</v>
      </c>
      <c r="E211" s="34">
        <f>VLOOKUP($B211,dados!$D$4:$G$500,4,FALSE)</f>
        <v>53815</v>
      </c>
    </row>
    <row r="212" spans="1:5" s="31" customFormat="1" ht="12.75" x14ac:dyDescent="0.2">
      <c r="A212" s="35">
        <f t="shared" si="23"/>
        <v>2012</v>
      </c>
      <c r="B212" s="39">
        <v>41183</v>
      </c>
      <c r="C212" s="33">
        <f>VLOOKUP($B212,dados!$D$4:$G$500,2,FALSE)</f>
        <v>103627</v>
      </c>
      <c r="D212" s="33">
        <f>VLOOKUP($B212,dados!$D$4:$G$500,3,FALSE)</f>
        <v>50186</v>
      </c>
      <c r="E212" s="34">
        <f>VLOOKUP($B212,dados!$D$4:$G$500,4,FALSE)</f>
        <v>52012</v>
      </c>
    </row>
    <row r="213" spans="1:5" s="31" customFormat="1" ht="12.75" x14ac:dyDescent="0.2">
      <c r="A213" s="35">
        <f t="shared" si="23"/>
        <v>2012</v>
      </c>
      <c r="B213" s="39">
        <v>41214</v>
      </c>
      <c r="C213" s="33">
        <f>VLOOKUP($B213,dados!$D$4:$G$500,2,FALSE)</f>
        <v>140069</v>
      </c>
      <c r="D213" s="33">
        <f>VLOOKUP($B213,dados!$D$4:$G$500,3,FALSE)</f>
        <v>67835</v>
      </c>
      <c r="E213" s="34">
        <f>VLOOKUP($B213,dados!$D$4:$G$500,4,FALSE)</f>
        <v>52656</v>
      </c>
    </row>
    <row r="214" spans="1:5" s="31" customFormat="1" ht="12.75" x14ac:dyDescent="0.2">
      <c r="A214" s="35">
        <f t="shared" si="23"/>
        <v>2012</v>
      </c>
      <c r="B214" s="39">
        <v>41244</v>
      </c>
      <c r="C214" s="33">
        <f>VLOOKUP($B214,dados!$D$4:$G$500,2,FALSE)</f>
        <v>245044</v>
      </c>
      <c r="D214" s="33">
        <f>VLOOKUP($B214,dados!$D$4:$G$500,3,FALSE)</f>
        <v>76674</v>
      </c>
      <c r="E214" s="34">
        <f>VLOOKUP($B214,dados!$D$4:$G$500,4,FALSE)</f>
        <v>60462</v>
      </c>
    </row>
    <row r="215" spans="1:5" s="31" customFormat="1" ht="12.75" x14ac:dyDescent="0.2">
      <c r="A215" s="35"/>
      <c r="B215" s="39"/>
      <c r="C215" s="33"/>
      <c r="D215" s="33"/>
      <c r="E215" s="34"/>
    </row>
    <row r="216" spans="1:5" s="31" customFormat="1" ht="12.75" x14ac:dyDescent="0.2">
      <c r="A216" s="51">
        <f>A217</f>
        <v>2013</v>
      </c>
      <c r="B216" s="43" t="s">
        <v>29</v>
      </c>
      <c r="C216" s="41">
        <f>SUM(C217:C228)</f>
        <v>1772432</v>
      </c>
      <c r="D216" s="41">
        <f t="shared" ref="D216" si="32">SUM(D217:D228)</f>
        <v>814327</v>
      </c>
      <c r="E216" s="42">
        <f t="shared" ref="E216" si="33">SUM(E217:E228)</f>
        <v>678263</v>
      </c>
    </row>
    <row r="217" spans="1:5" s="31" customFormat="1" ht="12.75" x14ac:dyDescent="0.2">
      <c r="A217" s="35">
        <f t="shared" si="23"/>
        <v>2013</v>
      </c>
      <c r="B217" s="44">
        <v>41275</v>
      </c>
      <c r="C217" s="33">
        <f>VLOOKUP($B217,dados!$D$4:$G$500,2,FALSE)</f>
        <v>146430</v>
      </c>
      <c r="D217" s="33">
        <f>VLOOKUP($B217,dados!$D$4:$G$500,3,FALSE)</f>
        <v>70892</v>
      </c>
      <c r="E217" s="34">
        <f>VLOOKUP($B217,dados!$D$4:$G$500,4,FALSE)</f>
        <v>65708</v>
      </c>
    </row>
    <row r="218" spans="1:5" s="31" customFormat="1" ht="12.75" x14ac:dyDescent="0.2">
      <c r="A218" s="35">
        <f t="shared" si="23"/>
        <v>2013</v>
      </c>
      <c r="B218" s="44">
        <v>41306</v>
      </c>
      <c r="C218" s="33">
        <f>VLOOKUP($B218,dados!$D$4:$G$500,2,FALSE)</f>
        <v>196908</v>
      </c>
      <c r="D218" s="33">
        <f>VLOOKUP($B218,dados!$D$4:$G$500,3,FALSE)</f>
        <v>95378</v>
      </c>
      <c r="E218" s="34">
        <f>VLOOKUP($B218,dados!$D$4:$G$500,4,FALSE)</f>
        <v>50453</v>
      </c>
    </row>
    <row r="219" spans="1:5" s="31" customFormat="1" ht="12.75" x14ac:dyDescent="0.2">
      <c r="A219" s="35">
        <f t="shared" si="23"/>
        <v>2013</v>
      </c>
      <c r="B219" s="44">
        <v>41334</v>
      </c>
      <c r="C219" s="33">
        <f>VLOOKUP($B219,dados!$D$4:$G$500,2,FALSE)</f>
        <v>113227</v>
      </c>
      <c r="D219" s="33">
        <f>VLOOKUP($B219,dados!$D$4:$G$500,3,FALSE)</f>
        <v>54931</v>
      </c>
      <c r="E219" s="34">
        <f>VLOOKUP($B219,dados!$D$4:$G$500,4,FALSE)</f>
        <v>44539</v>
      </c>
    </row>
    <row r="220" spans="1:5" s="31" customFormat="1" ht="12.75" x14ac:dyDescent="0.2">
      <c r="A220" s="35">
        <f t="shared" si="23"/>
        <v>2013</v>
      </c>
      <c r="B220" s="44">
        <v>41365</v>
      </c>
      <c r="C220" s="33">
        <f>VLOOKUP($B220,dados!$D$4:$G$500,2,FALSE)</f>
        <v>121490</v>
      </c>
      <c r="D220" s="33">
        <f>VLOOKUP($B220,dados!$D$4:$G$500,3,FALSE)</f>
        <v>58939</v>
      </c>
      <c r="E220" s="34">
        <f>VLOOKUP($B220,dados!$D$4:$G$500,4,FALSE)</f>
        <v>40840</v>
      </c>
    </row>
    <row r="221" spans="1:5" s="31" customFormat="1" ht="12.75" x14ac:dyDescent="0.2">
      <c r="A221" s="35">
        <f t="shared" si="23"/>
        <v>2013</v>
      </c>
      <c r="B221" s="44">
        <v>41395</v>
      </c>
      <c r="C221" s="33">
        <f>VLOOKUP($B221,dados!$D$4:$G$500,2,FALSE)</f>
        <v>174564</v>
      </c>
      <c r="D221" s="33">
        <f>VLOOKUP($B221,dados!$D$4:$G$500,3,FALSE)</f>
        <v>84688</v>
      </c>
      <c r="E221" s="34">
        <f>VLOOKUP($B221,dados!$D$4:$G$500,4,FALSE)</f>
        <v>54917</v>
      </c>
    </row>
    <row r="222" spans="1:5" s="31" customFormat="1" ht="12.75" x14ac:dyDescent="0.2">
      <c r="A222" s="35">
        <f t="shared" si="23"/>
        <v>2013</v>
      </c>
      <c r="B222" s="44">
        <v>41426</v>
      </c>
      <c r="C222" s="33">
        <f>VLOOKUP($B222,dados!$D$4:$G$500,2,FALSE)</f>
        <v>145793</v>
      </c>
      <c r="D222" s="33">
        <f>VLOOKUP($B222,dados!$D$4:$G$500,3,FALSE)</f>
        <v>70654</v>
      </c>
      <c r="E222" s="34">
        <f>VLOOKUP($B222,dados!$D$4:$G$500,4,FALSE)</f>
        <v>57197</v>
      </c>
    </row>
    <row r="223" spans="1:5" s="31" customFormat="1" ht="12.75" x14ac:dyDescent="0.2">
      <c r="A223" s="35">
        <f t="shared" si="23"/>
        <v>2013</v>
      </c>
      <c r="B223" s="44">
        <v>41456</v>
      </c>
      <c r="C223" s="33">
        <f>VLOOKUP($B223,dados!$D$4:$G$500,2,FALSE)</f>
        <v>103713</v>
      </c>
      <c r="D223" s="33">
        <f>VLOOKUP($B223,dados!$D$4:$G$500,3,FALSE)</f>
        <v>50315</v>
      </c>
      <c r="E223" s="34">
        <f>VLOOKUP($B223,dados!$D$4:$G$500,4,FALSE)</f>
        <v>56341</v>
      </c>
    </row>
    <row r="224" spans="1:5" s="31" customFormat="1" ht="12.75" x14ac:dyDescent="0.2">
      <c r="A224" s="35">
        <f t="shared" si="23"/>
        <v>2013</v>
      </c>
      <c r="B224" s="44">
        <v>41487</v>
      </c>
      <c r="C224" s="33">
        <f>VLOOKUP($B224,dados!$D$4:$G$500,2,FALSE)</f>
        <v>135602</v>
      </c>
      <c r="D224" s="33">
        <f>VLOOKUP($B224,dados!$D$4:$G$500,3,FALSE)</f>
        <v>65786</v>
      </c>
      <c r="E224" s="34">
        <f>VLOOKUP($B224,dados!$D$4:$G$500,4,FALSE)</f>
        <v>60285</v>
      </c>
    </row>
    <row r="225" spans="1:5" s="31" customFormat="1" ht="12.75" x14ac:dyDescent="0.2">
      <c r="A225" s="35">
        <f t="shared" si="23"/>
        <v>2013</v>
      </c>
      <c r="B225" s="44">
        <v>41518</v>
      </c>
      <c r="C225" s="33">
        <f>VLOOKUP($B225,dados!$D$4:$G$500,2,FALSE)</f>
        <v>112229</v>
      </c>
      <c r="D225" s="33">
        <f>VLOOKUP($B225,dados!$D$4:$G$500,3,FALSE)</f>
        <v>54447</v>
      </c>
      <c r="E225" s="34">
        <f>VLOOKUP($B225,dados!$D$4:$G$500,4,FALSE)</f>
        <v>54837</v>
      </c>
    </row>
    <row r="226" spans="1:5" s="31" customFormat="1" ht="12.75" x14ac:dyDescent="0.2">
      <c r="A226" s="35">
        <f t="shared" si="23"/>
        <v>2013</v>
      </c>
      <c r="B226" s="44">
        <v>41548</v>
      </c>
      <c r="C226" s="33">
        <f>VLOOKUP($B226,dados!$D$4:$G$500,2,FALSE)</f>
        <v>112231</v>
      </c>
      <c r="D226" s="33">
        <f>VLOOKUP($B226,dados!$D$4:$G$500,3,FALSE)</f>
        <v>54447</v>
      </c>
      <c r="E226" s="34">
        <f>VLOOKUP($B226,dados!$D$4:$G$500,4,FALSE)</f>
        <v>58621</v>
      </c>
    </row>
    <row r="227" spans="1:5" s="31" customFormat="1" ht="12.75" x14ac:dyDescent="0.2">
      <c r="A227" s="35">
        <f t="shared" si="23"/>
        <v>2013</v>
      </c>
      <c r="B227" s="44">
        <v>41579</v>
      </c>
      <c r="C227" s="33">
        <f>VLOOKUP($B227,dados!$D$4:$G$500,2,FALSE)</f>
        <v>156110</v>
      </c>
      <c r="D227" s="33">
        <f>VLOOKUP($B227,dados!$D$4:$G$500,3,FALSE)</f>
        <v>75735</v>
      </c>
      <c r="E227" s="34">
        <f>VLOOKUP($B227,dados!$D$4:$G$500,4,FALSE)</f>
        <v>65026</v>
      </c>
    </row>
    <row r="228" spans="1:5" s="31" customFormat="1" ht="12.75" x14ac:dyDescent="0.2">
      <c r="A228" s="35">
        <f t="shared" si="23"/>
        <v>2013</v>
      </c>
      <c r="B228" s="44">
        <v>41609</v>
      </c>
      <c r="C228" s="33">
        <f>VLOOKUP($B228,dados!$D$4:$G$500,2,FALSE)</f>
        <v>254135</v>
      </c>
      <c r="D228" s="33">
        <f>VLOOKUP($B228,dados!$D$4:$G$500,3,FALSE)</f>
        <v>78115</v>
      </c>
      <c r="E228" s="34">
        <f>VLOOKUP($B228,dados!$D$4:$G$500,4,FALSE)</f>
        <v>69499</v>
      </c>
    </row>
    <row r="229" spans="1:5" s="31" customFormat="1" ht="12.75" x14ac:dyDescent="0.2">
      <c r="A229" s="35"/>
      <c r="B229" s="44"/>
      <c r="C229" s="33"/>
      <c r="D229" s="33"/>
      <c r="E229" s="34"/>
    </row>
    <row r="230" spans="1:5" s="31" customFormat="1" ht="12.75" x14ac:dyDescent="0.2">
      <c r="A230" s="51">
        <f>A231</f>
        <v>2014</v>
      </c>
      <c r="B230" s="43" t="s">
        <v>29</v>
      </c>
      <c r="C230" s="41">
        <f>SUM(C231:C242)</f>
        <v>1925784</v>
      </c>
      <c r="D230" s="41">
        <f t="shared" ref="D230" si="34">SUM(D231:D242)</f>
        <v>887382</v>
      </c>
      <c r="E230" s="42">
        <f t="shared" ref="E230" si="35">SUM(E231:E242)</f>
        <v>655952</v>
      </c>
    </row>
    <row r="231" spans="1:5" s="31" customFormat="1" ht="12.75" x14ac:dyDescent="0.2">
      <c r="A231" s="35">
        <f t="shared" si="23"/>
        <v>2014</v>
      </c>
      <c r="B231" s="44">
        <v>41640</v>
      </c>
      <c r="C231" s="33">
        <f>VLOOKUP($B231,dados!$D$4:$G$500,2,FALSE)</f>
        <v>191969</v>
      </c>
      <c r="D231" s="33">
        <f>VLOOKUP($B231,dados!$D$4:$G$500,3,FALSE)</f>
        <v>93362</v>
      </c>
      <c r="E231" s="34">
        <f>VLOOKUP($B231,dados!$D$4:$G$500,4,FALSE)</f>
        <v>56331</v>
      </c>
    </row>
    <row r="232" spans="1:5" s="31" customFormat="1" ht="12.75" x14ac:dyDescent="0.2">
      <c r="A232" s="35">
        <f t="shared" ref="A232:A305" si="36">YEAR(B232)</f>
        <v>2014</v>
      </c>
      <c r="B232" s="44">
        <v>41671</v>
      </c>
      <c r="C232" s="33">
        <f>VLOOKUP($B232,dados!$D$4:$G$500,2,FALSE)</f>
        <v>204994</v>
      </c>
      <c r="D232" s="33">
        <f>VLOOKUP($B232,dados!$D$4:$G$500,3,FALSE)</f>
        <v>99697</v>
      </c>
      <c r="E232" s="34">
        <f>VLOOKUP($B232,dados!$D$4:$G$500,4,FALSE)</f>
        <v>47691</v>
      </c>
    </row>
    <row r="233" spans="1:5" s="31" customFormat="1" ht="12.75" x14ac:dyDescent="0.2">
      <c r="A233" s="35">
        <f t="shared" si="36"/>
        <v>2014</v>
      </c>
      <c r="B233" s="44">
        <v>41699</v>
      </c>
      <c r="C233" s="33">
        <f>VLOOKUP($B233,dados!$D$4:$G$500,2,FALSE)</f>
        <v>121602</v>
      </c>
      <c r="D233" s="33">
        <f>VLOOKUP($B233,dados!$D$4:$G$500,3,FALSE)</f>
        <v>59140</v>
      </c>
      <c r="E233" s="34">
        <f>VLOOKUP($B233,dados!$D$4:$G$500,4,FALSE)</f>
        <v>46600</v>
      </c>
    </row>
    <row r="234" spans="1:5" s="31" customFormat="1" ht="12.75" x14ac:dyDescent="0.2">
      <c r="A234" s="35">
        <f t="shared" si="36"/>
        <v>2014</v>
      </c>
      <c r="B234" s="44">
        <v>41730</v>
      </c>
      <c r="C234" s="33">
        <f>VLOOKUP($B234,dados!$D$4:$G$500,2,FALSE)</f>
        <v>138788</v>
      </c>
      <c r="D234" s="33">
        <f>VLOOKUP($B234,dados!$D$4:$G$500,3,FALSE)</f>
        <v>67498</v>
      </c>
      <c r="E234" s="34">
        <f>VLOOKUP($B234,dados!$D$4:$G$500,4,FALSE)</f>
        <v>50814</v>
      </c>
    </row>
    <row r="235" spans="1:5" s="31" customFormat="1" ht="12.75" x14ac:dyDescent="0.2">
      <c r="A235" s="35">
        <f t="shared" si="36"/>
        <v>2014</v>
      </c>
      <c r="B235" s="44">
        <v>41760</v>
      </c>
      <c r="C235" s="33">
        <f>VLOOKUP($B235,dados!$D$4:$G$500,2,FALSE)</f>
        <v>184952</v>
      </c>
      <c r="D235" s="33">
        <f>VLOOKUP($B235,dados!$D$4:$G$500,3,FALSE)</f>
        <v>89949</v>
      </c>
      <c r="E235" s="34">
        <f>VLOOKUP($B235,dados!$D$4:$G$500,4,FALSE)</f>
        <v>55268</v>
      </c>
    </row>
    <row r="236" spans="1:5" s="31" customFormat="1" ht="12.75" x14ac:dyDescent="0.2">
      <c r="A236" s="35">
        <f t="shared" si="36"/>
        <v>2014</v>
      </c>
      <c r="B236" s="44">
        <v>41791</v>
      </c>
      <c r="C236" s="33">
        <f>VLOOKUP($B236,dados!$D$4:$G$500,2,FALSE)</f>
        <v>138702</v>
      </c>
      <c r="D236" s="33">
        <f>VLOOKUP($B236,dados!$D$4:$G$500,3,FALSE)</f>
        <v>67456</v>
      </c>
      <c r="E236" s="34">
        <f>VLOOKUP($B236,dados!$D$4:$G$500,4,FALSE)</f>
        <v>52640</v>
      </c>
    </row>
    <row r="237" spans="1:5" s="31" customFormat="1" ht="12.75" x14ac:dyDescent="0.2">
      <c r="A237" s="35">
        <f t="shared" si="36"/>
        <v>2014</v>
      </c>
      <c r="B237" s="44">
        <v>41821</v>
      </c>
      <c r="C237" s="33">
        <f>VLOOKUP($B237,dados!$D$4:$G$500,2,FALSE)</f>
        <v>119127</v>
      </c>
      <c r="D237" s="33">
        <f>VLOOKUP($B237,dados!$D$4:$G$500,3,FALSE)</f>
        <v>57936</v>
      </c>
      <c r="E237" s="34">
        <f>VLOOKUP($B237,dados!$D$4:$G$500,4,FALSE)</f>
        <v>54077</v>
      </c>
    </row>
    <row r="238" spans="1:5" s="31" customFormat="1" ht="12.75" x14ac:dyDescent="0.2">
      <c r="A238" s="35">
        <f t="shared" si="36"/>
        <v>2014</v>
      </c>
      <c r="B238" s="44">
        <v>41852</v>
      </c>
      <c r="C238" s="33">
        <f>VLOOKUP($B238,dados!$D$4:$G$500,2,FALSE)</f>
        <v>144720</v>
      </c>
      <c r="D238" s="33">
        <f>VLOOKUP($B238,dados!$D$4:$G$500,3,FALSE)</f>
        <v>70383</v>
      </c>
      <c r="E238" s="34">
        <f>VLOOKUP($B238,dados!$D$4:$G$500,4,FALSE)</f>
        <v>55742</v>
      </c>
    </row>
    <row r="239" spans="1:5" s="31" customFormat="1" ht="12.75" x14ac:dyDescent="0.2">
      <c r="A239" s="35">
        <f t="shared" si="36"/>
        <v>2014</v>
      </c>
      <c r="B239" s="44">
        <v>41883</v>
      </c>
      <c r="C239" s="33">
        <f>VLOOKUP($B239,dados!$D$4:$G$500,2,FALSE)</f>
        <v>126859</v>
      </c>
      <c r="D239" s="33">
        <f>VLOOKUP($B239,dados!$D$4:$G$500,3,FALSE)</f>
        <v>61696</v>
      </c>
      <c r="E239" s="34">
        <f>VLOOKUP($B239,dados!$D$4:$G$500,4,FALSE)</f>
        <v>52456</v>
      </c>
    </row>
    <row r="240" spans="1:5" s="31" customFormat="1" ht="12.75" x14ac:dyDescent="0.2">
      <c r="A240" s="35">
        <f t="shared" si="36"/>
        <v>2014</v>
      </c>
      <c r="B240" s="44">
        <v>41913</v>
      </c>
      <c r="C240" s="33">
        <f>VLOOKUP($B240,dados!$D$4:$G$500,2,FALSE)</f>
        <v>119895</v>
      </c>
      <c r="D240" s="33">
        <f>VLOOKUP($B240,dados!$D$4:$G$500,3,FALSE)</f>
        <v>58309</v>
      </c>
      <c r="E240" s="34">
        <f>VLOOKUP($B240,dados!$D$4:$G$500,4,FALSE)</f>
        <v>56176</v>
      </c>
    </row>
    <row r="241" spans="1:5" s="31" customFormat="1" ht="12.75" x14ac:dyDescent="0.2">
      <c r="A241" s="35">
        <f t="shared" si="36"/>
        <v>2014</v>
      </c>
      <c r="B241" s="44">
        <v>41944</v>
      </c>
      <c r="C241" s="33">
        <f>VLOOKUP($B241,dados!$D$4:$G$500,2,FALSE)</f>
        <v>158696</v>
      </c>
      <c r="D241" s="33">
        <f>VLOOKUP($B241,dados!$D$4:$G$500,3,FALSE)</f>
        <v>77180</v>
      </c>
      <c r="E241" s="34">
        <f>VLOOKUP($B241,dados!$D$4:$G$500,4,FALSE)</f>
        <v>64507</v>
      </c>
    </row>
    <row r="242" spans="1:5" s="31" customFormat="1" ht="12.75" x14ac:dyDescent="0.2">
      <c r="A242" s="35">
        <f t="shared" si="36"/>
        <v>2014</v>
      </c>
      <c r="B242" s="44">
        <v>41974</v>
      </c>
      <c r="C242" s="33">
        <f>VLOOKUP($B242,dados!$D$4:$G$500,2,FALSE)</f>
        <v>275480</v>
      </c>
      <c r="D242" s="33">
        <f>VLOOKUP($B242,dados!$D$4:$G$500,3,FALSE)</f>
        <v>84776</v>
      </c>
      <c r="E242" s="34">
        <f>VLOOKUP($B242,dados!$D$4:$G$500,4,FALSE)</f>
        <v>63650</v>
      </c>
    </row>
    <row r="243" spans="1:5" s="31" customFormat="1" ht="12.75" x14ac:dyDescent="0.2">
      <c r="A243" s="35"/>
      <c r="B243" s="44"/>
      <c r="C243" s="33"/>
      <c r="D243" s="33"/>
      <c r="E243" s="34"/>
    </row>
    <row r="244" spans="1:5" s="31" customFormat="1" ht="12.75" x14ac:dyDescent="0.2">
      <c r="A244" s="51">
        <f>A245</f>
        <v>2015</v>
      </c>
      <c r="B244" s="43" t="s">
        <v>29</v>
      </c>
      <c r="C244" s="41">
        <f>SUM(C245:C256)</f>
        <v>2010962.2582099999</v>
      </c>
      <c r="D244" s="41">
        <f t="shared" ref="D244" si="37">SUM(D245:D256)</f>
        <v>933511.94613000005</v>
      </c>
      <c r="E244" s="42">
        <f t="shared" ref="E244" si="38">SUM(E245:E256)</f>
        <v>576743.1456200002</v>
      </c>
    </row>
    <row r="245" spans="1:5" s="31" customFormat="1" ht="12.75" x14ac:dyDescent="0.2">
      <c r="A245" s="35">
        <f t="shared" si="36"/>
        <v>2015</v>
      </c>
      <c r="B245" s="44">
        <v>42005</v>
      </c>
      <c r="C245" s="33">
        <f>VLOOKUP($B245,dados!$D$4:$G$500,2,FALSE)</f>
        <v>191268</v>
      </c>
      <c r="D245" s="33">
        <f>VLOOKUP($B245,dados!$D$4:$G$500,3,FALSE)</f>
        <v>94969</v>
      </c>
      <c r="E245" s="34">
        <f>VLOOKUP($B245,dados!$D$4:$G$500,4,FALSE)</f>
        <v>71032.475879999998</v>
      </c>
    </row>
    <row r="246" spans="1:5" s="31" customFormat="1" ht="12.75" x14ac:dyDescent="0.2">
      <c r="A246" s="35">
        <f t="shared" si="36"/>
        <v>2015</v>
      </c>
      <c r="B246" s="44">
        <v>42036</v>
      </c>
      <c r="C246" s="33">
        <f>VLOOKUP($B246,dados!$D$4:$G$500,2,FALSE)</f>
        <v>195247</v>
      </c>
      <c r="D246" s="33">
        <f>VLOOKUP($B246,dados!$D$4:$G$500,3,FALSE)</f>
        <v>96945</v>
      </c>
      <c r="E246" s="34">
        <f>VLOOKUP($B246,dados!$D$4:$G$500,4,FALSE)</f>
        <v>42258.620560000003</v>
      </c>
    </row>
    <row r="247" spans="1:5" s="31" customFormat="1" ht="12.75" x14ac:dyDescent="0.2">
      <c r="A247" s="35">
        <f t="shared" si="36"/>
        <v>2015</v>
      </c>
      <c r="B247" s="44">
        <v>42064</v>
      </c>
      <c r="C247" s="33">
        <f>VLOOKUP($B247,dados!$D$4:$G$500,2,FALSE)</f>
        <v>142209</v>
      </c>
      <c r="D247" s="33">
        <f>VLOOKUP($B247,dados!$D$4:$G$500,3,FALSE)</f>
        <v>70610</v>
      </c>
      <c r="E247" s="34">
        <f>VLOOKUP($B247,dados!$D$4:$G$500,4,FALSE)</f>
        <v>41451.318220000001</v>
      </c>
    </row>
    <row r="248" spans="1:5" s="31" customFormat="1" ht="12.75" x14ac:dyDescent="0.2">
      <c r="A248" s="35">
        <f t="shared" si="36"/>
        <v>2015</v>
      </c>
      <c r="B248" s="44">
        <v>42095</v>
      </c>
      <c r="C248" s="33">
        <f>VLOOKUP($B248,dados!$D$4:$G$500,2,FALSE)</f>
        <v>153481.13969000004</v>
      </c>
      <c r="D248" s="33">
        <f>VLOOKUP($B248,dados!$D$4:$G$500,3,FALSE)</f>
        <v>76206.980540000004</v>
      </c>
      <c r="E248" s="34">
        <f>VLOOKUP($B248,dados!$D$4:$G$500,4,FALSE)</f>
        <v>43415.255509999995</v>
      </c>
    </row>
    <row r="249" spans="1:5" s="31" customFormat="1" ht="12.75" x14ac:dyDescent="0.2">
      <c r="A249" s="35">
        <f t="shared" si="36"/>
        <v>2015</v>
      </c>
      <c r="B249" s="44">
        <v>42125</v>
      </c>
      <c r="C249" s="33">
        <f>VLOOKUP($B249,dados!$D$4:$G$500,2,FALSE)</f>
        <v>188738.98749999999</v>
      </c>
      <c r="D249" s="33">
        <f>VLOOKUP($B249,dados!$D$4:$G$500,3,FALSE)</f>
        <v>93713.32836</v>
      </c>
      <c r="E249" s="34">
        <f>VLOOKUP($B249,dados!$D$4:$G$500,4,FALSE)</f>
        <v>48977.260620000001</v>
      </c>
    </row>
    <row r="250" spans="1:5" s="31" customFormat="1" ht="12.75" x14ac:dyDescent="0.2">
      <c r="A250" s="35">
        <f t="shared" si="36"/>
        <v>2015</v>
      </c>
      <c r="B250" s="44">
        <v>42156</v>
      </c>
      <c r="C250" s="33">
        <f>VLOOKUP($B250,dados!$D$4:$G$500,2,FALSE)</f>
        <v>164222.05266999995</v>
      </c>
      <c r="D250" s="33">
        <f>VLOOKUP($B250,dados!$D$4:$G$500,3,FALSE)</f>
        <v>81540.096219999992</v>
      </c>
      <c r="E250" s="34">
        <f>VLOOKUP($B250,dados!$D$4:$G$500,4,FALSE)</f>
        <v>46650.891630000006</v>
      </c>
    </row>
    <row r="251" spans="1:5" s="31" customFormat="1" ht="12.75" x14ac:dyDescent="0.2">
      <c r="A251" s="35">
        <f t="shared" si="36"/>
        <v>2015</v>
      </c>
      <c r="B251" s="44">
        <v>42186</v>
      </c>
      <c r="C251" s="33">
        <f>VLOOKUP($B251,dados!$D$4:$G$500,2,FALSE)</f>
        <v>149416.04647000009</v>
      </c>
      <c r="D251" s="33">
        <f>VLOOKUP($B251,dados!$D$4:$G$500,3,FALSE)</f>
        <v>60377.8848</v>
      </c>
      <c r="E251" s="34">
        <f>VLOOKUP($B251,dados!$D$4:$G$500,4,FALSE)</f>
        <v>42974.918389999999</v>
      </c>
    </row>
    <row r="252" spans="1:5" s="31" customFormat="1" ht="12.75" x14ac:dyDescent="0.2">
      <c r="A252" s="35">
        <f t="shared" si="36"/>
        <v>2015</v>
      </c>
      <c r="B252" s="44">
        <v>42217</v>
      </c>
      <c r="C252" s="33">
        <f>VLOOKUP($B252,dados!$D$4:$G$500,2,FALSE)</f>
        <v>142221.20227000001</v>
      </c>
      <c r="D252" s="33">
        <f>VLOOKUP($B252,dados!$D$4:$G$500,3,FALSE)</f>
        <v>70616.158100000001</v>
      </c>
      <c r="E252" s="34">
        <f>VLOOKUP($B252,dados!$D$4:$G$500,4,FALSE)</f>
        <v>45727.317729999995</v>
      </c>
    </row>
    <row r="253" spans="1:5" s="31" customFormat="1" ht="12.75" x14ac:dyDescent="0.2">
      <c r="A253" s="35">
        <f t="shared" si="36"/>
        <v>2015</v>
      </c>
      <c r="B253" s="44">
        <v>42248</v>
      </c>
      <c r="C253" s="33">
        <f>VLOOKUP($B253,dados!$D$4:$G$500,2,FALSE)</f>
        <v>118570.70044999997</v>
      </c>
      <c r="D253" s="33">
        <f>VLOOKUP($B253,dados!$D$4:$G$500,3,FALSE)</f>
        <v>58873.13018</v>
      </c>
      <c r="E253" s="34">
        <f>VLOOKUP($B253,dados!$D$4:$G$500,4,FALSE)</f>
        <v>45597.417590000005</v>
      </c>
    </row>
    <row r="254" spans="1:5" s="31" customFormat="1" ht="12.75" x14ac:dyDescent="0.2">
      <c r="A254" s="35">
        <f t="shared" si="36"/>
        <v>2015</v>
      </c>
      <c r="B254" s="44">
        <v>42278</v>
      </c>
      <c r="C254" s="33">
        <f>VLOOKUP($B254,dados!$D$4:$G$500,2,FALSE)</f>
        <v>134953.10941000003</v>
      </c>
      <c r="D254" s="33">
        <f>VLOOKUP($B254,dados!$D$4:$G$500,3,FALSE)</f>
        <v>67007.379060000007</v>
      </c>
      <c r="E254" s="34">
        <f>VLOOKUP($B254,dados!$D$4:$G$500,4,FALSE)</f>
        <v>52889.284220000001</v>
      </c>
    </row>
    <row r="255" spans="1:5" s="31" customFormat="1" ht="12.75" x14ac:dyDescent="0.2">
      <c r="A255" s="35">
        <f t="shared" si="36"/>
        <v>2015</v>
      </c>
      <c r="B255" s="44">
        <v>42309</v>
      </c>
      <c r="C255" s="33">
        <f>VLOOKUP($B255,dados!$D$4:$G$500,2,FALSE)</f>
        <v>152372.65198999998</v>
      </c>
      <c r="D255" s="33">
        <f>VLOOKUP($B255,dados!$D$4:$G$500,3,FALSE)</f>
        <v>75656.590949999998</v>
      </c>
      <c r="E255" s="34">
        <f>VLOOKUP($B255,dados!$D$4:$G$500,4,FALSE)</f>
        <v>48186.830990000002</v>
      </c>
    </row>
    <row r="256" spans="1:5" s="31" customFormat="1" ht="12.75" x14ac:dyDescent="0.2">
      <c r="A256" s="35">
        <f t="shared" si="36"/>
        <v>2015</v>
      </c>
      <c r="B256" s="44">
        <v>42339</v>
      </c>
      <c r="C256" s="33">
        <f>VLOOKUP($B256,dados!$D$4:$G$500,2,FALSE)</f>
        <v>278262.36775999982</v>
      </c>
      <c r="D256" s="33">
        <f>VLOOKUP($B256,dados!$D$4:$G$500,3,FALSE)</f>
        <v>86996.397920000003</v>
      </c>
      <c r="E256" s="34">
        <f>VLOOKUP($B256,dados!$D$4:$G$500,4,FALSE)</f>
        <v>47581.554280000004</v>
      </c>
    </row>
    <row r="257" spans="1:5" s="31" customFormat="1" ht="12.75" x14ac:dyDescent="0.2">
      <c r="A257" s="35"/>
      <c r="B257" s="44"/>
      <c r="C257" s="33"/>
      <c r="D257" s="33"/>
      <c r="E257" s="34"/>
    </row>
    <row r="258" spans="1:5" s="31" customFormat="1" ht="12.75" x14ac:dyDescent="0.2">
      <c r="A258" s="51">
        <f>A259</f>
        <v>2016</v>
      </c>
      <c r="B258" s="43" t="s">
        <v>29</v>
      </c>
      <c r="C258" s="41">
        <f>SUM(C259:C270)</f>
        <v>2349045.8280400001</v>
      </c>
      <c r="D258" s="41">
        <f t="shared" ref="D258" si="39">SUM(D259:D270)</f>
        <v>1189321.21049</v>
      </c>
      <c r="E258" s="42">
        <f t="shared" ref="E258" si="40">SUM(E259:E270)</f>
        <v>615363.05678999994</v>
      </c>
    </row>
    <row r="259" spans="1:5" s="31" customFormat="1" ht="12.75" x14ac:dyDescent="0.2">
      <c r="A259" s="35">
        <f t="shared" si="36"/>
        <v>2016</v>
      </c>
      <c r="B259" s="39">
        <v>42370</v>
      </c>
      <c r="C259" s="33">
        <f>VLOOKUP($B259,dados!$D$4:$G$500,2,FALSE)</f>
        <v>166923.12048999994</v>
      </c>
      <c r="D259" s="33">
        <f>VLOOKUP($B259,dados!$D$4:$G$500,3,FALSE)</f>
        <v>82894.208939999997</v>
      </c>
      <c r="E259" s="34">
        <f>VLOOKUP($B259,dados!$D$4:$G$500,4,FALSE)</f>
        <v>64515.690619999994</v>
      </c>
    </row>
    <row r="260" spans="1:5" s="31" customFormat="1" ht="12.75" x14ac:dyDescent="0.2">
      <c r="A260" s="35">
        <f t="shared" si="36"/>
        <v>2016</v>
      </c>
      <c r="B260" s="39">
        <v>42401</v>
      </c>
      <c r="C260" s="33">
        <f>VLOOKUP($B260,dados!$D$4:$G$500,2,FALSE)</f>
        <v>208963.61045000001</v>
      </c>
      <c r="D260" s="33">
        <f>VLOOKUP($B260,dados!$D$4:$G$500,3,FALSE)</f>
        <v>104512.23305</v>
      </c>
      <c r="E260" s="34">
        <f>VLOOKUP($B260,dados!$D$4:$G$500,4,FALSE)</f>
        <v>49825.678970000001</v>
      </c>
    </row>
    <row r="261" spans="1:5" s="31" customFormat="1" ht="12.75" x14ac:dyDescent="0.2">
      <c r="A261" s="35">
        <f t="shared" si="36"/>
        <v>2016</v>
      </c>
      <c r="B261" s="39">
        <v>42430</v>
      </c>
      <c r="C261" s="33">
        <f>VLOOKUP($B261,dados!$D$4:$G$500,2,FALSE)</f>
        <v>126928.38615000001</v>
      </c>
      <c r="D261" s="33">
        <f>VLOOKUP($B261,dados!$D$4:$G$500,3,FALSE)</f>
        <v>63032.779210000001</v>
      </c>
      <c r="E261" s="34">
        <f>VLOOKUP($B261,dados!$D$4:$G$500,4,FALSE)</f>
        <v>48645.565040000001</v>
      </c>
    </row>
    <row r="262" spans="1:5" s="31" customFormat="1" ht="12.75" x14ac:dyDescent="0.2">
      <c r="A262" s="35">
        <f t="shared" si="36"/>
        <v>2016</v>
      </c>
      <c r="B262" s="39">
        <v>42461</v>
      </c>
      <c r="C262" s="33">
        <f>VLOOKUP($B262,dados!$D$4:$G$500,2,FALSE)</f>
        <v>150890.59085000007</v>
      </c>
      <c r="D262" s="33">
        <f>VLOOKUP($B262,dados!$D$4:$G$500,3,FALSE)</f>
        <v>74932.437379999988</v>
      </c>
      <c r="E262" s="34">
        <f>VLOOKUP($B262,dados!$D$4:$G$500,4,FALSE)</f>
        <v>49914.457889999998</v>
      </c>
    </row>
    <row r="263" spans="1:5" s="31" customFormat="1" ht="12.75" x14ac:dyDescent="0.2">
      <c r="A263" s="35">
        <f t="shared" si="36"/>
        <v>2016</v>
      </c>
      <c r="B263" s="39">
        <v>42491</v>
      </c>
      <c r="C263" s="33">
        <f>VLOOKUP($B263,dados!$D$4:$G$500,2,FALSE)</f>
        <v>200648.06348999985</v>
      </c>
      <c r="D263" s="33">
        <f>VLOOKUP($B263,dados!$D$4:$G$500,3,FALSE)</f>
        <v>99688.320699999997</v>
      </c>
      <c r="E263" s="34">
        <f>VLOOKUP($B263,dados!$D$4:$G$500,4,FALSE)</f>
        <v>56681.8842</v>
      </c>
    </row>
    <row r="264" spans="1:5" s="31" customFormat="1" ht="12.75" x14ac:dyDescent="0.2">
      <c r="A264" s="35">
        <f t="shared" si="36"/>
        <v>2016</v>
      </c>
      <c r="B264" s="39">
        <v>42522</v>
      </c>
      <c r="C264" s="33">
        <f>VLOOKUP($B264,dados!$D$4:$G$500,2,FALSE)</f>
        <v>165767.80697000001</v>
      </c>
      <c r="D264" s="33">
        <f>VLOOKUP($B264,dados!$D$4:$G$500,3,FALSE)</f>
        <v>82320.479760000002</v>
      </c>
      <c r="E264" s="34">
        <f>VLOOKUP($B264,dados!$D$4:$G$500,4,FALSE)</f>
        <v>33728.295020000005</v>
      </c>
    </row>
    <row r="265" spans="1:5" s="31" customFormat="1" ht="12.75" x14ac:dyDescent="0.2">
      <c r="A265" s="35">
        <f t="shared" si="36"/>
        <v>2016</v>
      </c>
      <c r="B265" s="39">
        <v>42552</v>
      </c>
      <c r="C265" s="33">
        <f>VLOOKUP($B265,dados!$D$4:$G$500,2,FALSE)</f>
        <v>199722.20669999984</v>
      </c>
      <c r="D265" s="33">
        <f>VLOOKUP($B265,dados!$D$4:$G$500,3,FALSE)</f>
        <v>59683.31349</v>
      </c>
      <c r="E265" s="34">
        <f>VLOOKUP($B265,dados!$D$4:$G$500,4,FALSE)</f>
        <v>45827.376469999996</v>
      </c>
    </row>
    <row r="266" spans="1:5" s="31" customFormat="1" ht="12.75" x14ac:dyDescent="0.2">
      <c r="A266" s="35">
        <f t="shared" si="36"/>
        <v>2016</v>
      </c>
      <c r="B266" s="39">
        <v>42583</v>
      </c>
      <c r="C266" s="33">
        <f>VLOOKUP($B266,dados!$D$4:$G$500,2,FALSE)</f>
        <v>149044.32894000006</v>
      </c>
      <c r="D266" s="33">
        <f>VLOOKUP($B266,dados!$D$4:$G$500,3,FALSE)</f>
        <v>74015.581540000014</v>
      </c>
      <c r="E266" s="34">
        <f>VLOOKUP($B266,dados!$D$4:$G$500,4,FALSE)</f>
        <v>46308.12962</v>
      </c>
    </row>
    <row r="267" spans="1:5" s="31" customFormat="1" ht="12.75" x14ac:dyDescent="0.2">
      <c r="A267" s="35">
        <f t="shared" si="36"/>
        <v>2016</v>
      </c>
      <c r="B267" s="39">
        <v>42614</v>
      </c>
      <c r="C267" s="33">
        <f>VLOOKUP($B267,dados!$D$4:$G$500,2,FALSE)</f>
        <v>121202.81771000003</v>
      </c>
      <c r="D267" s="33">
        <f>VLOOKUP($B267,dados!$D$4:$G$500,3,FALSE)</f>
        <v>60189.455130000002</v>
      </c>
      <c r="E267" s="34">
        <f>VLOOKUP($B267,dados!$D$4:$G$500,4,FALSE)</f>
        <v>50710.177990000004</v>
      </c>
    </row>
    <row r="268" spans="1:5" s="31" customFormat="1" ht="12.75" x14ac:dyDescent="0.2">
      <c r="A268" s="35">
        <f t="shared" si="36"/>
        <v>2016</v>
      </c>
      <c r="B268" s="39">
        <v>42644</v>
      </c>
      <c r="C268" s="33">
        <f>VLOOKUP($B268,dados!$D$4:$G$500,2,FALSE)</f>
        <v>147127.49409999998</v>
      </c>
      <c r="D268" s="33">
        <f>VLOOKUP($B268,dados!$D$4:$G$500,3,FALSE)</f>
        <v>77951.923200000005</v>
      </c>
      <c r="E268" s="34">
        <f>VLOOKUP($B268,dados!$D$4:$G$500,4,FALSE)</f>
        <v>53598.013960000004</v>
      </c>
    </row>
    <row r="269" spans="1:5" s="31" customFormat="1" ht="12.75" x14ac:dyDescent="0.2">
      <c r="A269" s="35">
        <f t="shared" si="36"/>
        <v>2016</v>
      </c>
      <c r="B269" s="39">
        <v>42675</v>
      </c>
      <c r="C269" s="33">
        <f>VLOOKUP($B269,dados!$D$4:$G$500,2,FALSE)</f>
        <v>268432.03909999982</v>
      </c>
      <c r="D269" s="33">
        <f>VLOOKUP($B269,dados!$D$4:$G$500,3,FALSE)</f>
        <v>182797.43359999999</v>
      </c>
      <c r="E269" s="34">
        <f>VLOOKUP($B269,dados!$D$4:$G$500,4,FALSE)</f>
        <v>56014.126210000002</v>
      </c>
    </row>
    <row r="270" spans="1:5" s="31" customFormat="1" ht="12.75" x14ac:dyDescent="0.2">
      <c r="A270" s="35">
        <f t="shared" si="36"/>
        <v>2016</v>
      </c>
      <c r="B270" s="39">
        <v>42705</v>
      </c>
      <c r="C270" s="33">
        <f>VLOOKUP($B270,dados!$D$4:$G$500,2,FALSE)</f>
        <v>443395.36309000017</v>
      </c>
      <c r="D270" s="33">
        <f>VLOOKUP($B270,dados!$D$4:$G$500,3,FALSE)</f>
        <v>227303.04449</v>
      </c>
      <c r="E270" s="34">
        <f>VLOOKUP($B270,dados!$D$4:$G$500,4,FALSE)</f>
        <v>59593.660799999998</v>
      </c>
    </row>
    <row r="271" spans="1:5" s="31" customFormat="1" ht="12.75" x14ac:dyDescent="0.2">
      <c r="A271" s="35"/>
      <c r="B271" s="39"/>
      <c r="C271" s="33"/>
      <c r="D271" s="33"/>
      <c r="E271" s="34"/>
    </row>
    <row r="272" spans="1:5" s="31" customFormat="1" ht="12.75" x14ac:dyDescent="0.2">
      <c r="A272" s="51">
        <f>A273</f>
        <v>2017</v>
      </c>
      <c r="B272" s="43" t="s">
        <v>29</v>
      </c>
      <c r="C272" s="41">
        <f>SUM(C273:C284)</f>
        <v>2285981.8222399992</v>
      </c>
      <c r="D272" s="41">
        <f t="shared" ref="D272" si="41">SUM(D273:D284)</f>
        <v>1059785.8738999998</v>
      </c>
      <c r="E272" s="42">
        <f t="shared" ref="E272" si="42">SUM(E273:E284)</f>
        <v>565196.50148999994</v>
      </c>
    </row>
    <row r="273" spans="1:5" s="31" customFormat="1" ht="12.75" x14ac:dyDescent="0.2">
      <c r="A273" s="35">
        <f t="shared" si="36"/>
        <v>2017</v>
      </c>
      <c r="B273" s="39">
        <v>42736</v>
      </c>
      <c r="C273" s="33">
        <f>VLOOKUP($B273,dados!$D$4:$G$500,2,FALSE)</f>
        <v>179466.78994999992</v>
      </c>
      <c r="D273" s="33">
        <f>VLOOKUP($B273,dados!$D$4:$G$500,3,FALSE)</f>
        <v>88962.97855</v>
      </c>
      <c r="E273" s="34">
        <f>VLOOKUP($B273,dados!$D$4:$G$500,4,FALSE)</f>
        <v>42428.13579</v>
      </c>
    </row>
    <row r="274" spans="1:5" s="31" customFormat="1" ht="12.75" x14ac:dyDescent="0.2">
      <c r="A274" s="35">
        <f t="shared" si="36"/>
        <v>2017</v>
      </c>
      <c r="B274" s="39">
        <v>42767</v>
      </c>
      <c r="C274" s="33">
        <f>VLOOKUP($B274,dados!$D$4:$G$500,2,FALSE)</f>
        <v>230071.59523999988</v>
      </c>
      <c r="D274" s="33">
        <f>VLOOKUP($B274,dados!$D$4:$G$500,3,FALSE)</f>
        <v>117413.51763</v>
      </c>
      <c r="E274" s="34">
        <f>VLOOKUP($B274,dados!$D$4:$G$500,4,FALSE)</f>
        <v>46654.009610000001</v>
      </c>
    </row>
    <row r="275" spans="1:5" s="31" customFormat="1" ht="12.75" x14ac:dyDescent="0.2">
      <c r="A275" s="35">
        <f t="shared" si="36"/>
        <v>2017</v>
      </c>
      <c r="B275" s="39">
        <v>42795</v>
      </c>
      <c r="C275" s="33">
        <f>VLOOKUP($B275,dados!$D$4:$G$500,2,FALSE)</f>
        <v>144153.95154999997</v>
      </c>
      <c r="D275" s="33">
        <f>VLOOKUP($B275,dados!$D$4:$G$500,3,FALSE)</f>
        <v>71466.610180000003</v>
      </c>
      <c r="E275" s="34">
        <f>VLOOKUP($B275,dados!$D$4:$G$500,4,FALSE)</f>
        <v>36661.841009999996</v>
      </c>
    </row>
    <row r="276" spans="1:5" s="31" customFormat="1" ht="12.75" x14ac:dyDescent="0.2">
      <c r="A276" s="35">
        <f t="shared" si="36"/>
        <v>2017</v>
      </c>
      <c r="B276" s="39">
        <v>42826</v>
      </c>
      <c r="C276" s="33">
        <f>VLOOKUP($B276,dados!$D$4:$G$500,2,FALSE)</f>
        <v>173681.00332999992</v>
      </c>
      <c r="D276" s="33">
        <f>VLOOKUP($B276,dados!$D$4:$G$500,3,FALSE)</f>
        <v>90696.480510000009</v>
      </c>
      <c r="E276" s="34">
        <f>VLOOKUP($B276,dados!$D$4:$G$500,4,FALSE)</f>
        <v>44269.282610000002</v>
      </c>
    </row>
    <row r="277" spans="1:5" s="31" customFormat="1" ht="12.75" x14ac:dyDescent="0.2">
      <c r="A277" s="35">
        <f t="shared" si="36"/>
        <v>2017</v>
      </c>
      <c r="B277" s="39">
        <v>42856</v>
      </c>
      <c r="C277" s="33">
        <f>VLOOKUP($B277,dados!$D$4:$G$500,2,FALSE)</f>
        <v>197011.12099000002</v>
      </c>
      <c r="D277" s="33">
        <f>VLOOKUP($B277,dados!$D$4:$G$500,3,FALSE)</f>
        <v>98991.662079999995</v>
      </c>
      <c r="E277" s="34">
        <f>VLOOKUP($B277,dados!$D$4:$G$500,4,FALSE)</f>
        <v>41536.958259999999</v>
      </c>
    </row>
    <row r="278" spans="1:5" s="31" customFormat="1" ht="12.75" x14ac:dyDescent="0.2">
      <c r="A278" s="35">
        <f t="shared" si="36"/>
        <v>2017</v>
      </c>
      <c r="B278" s="39">
        <v>42887</v>
      </c>
      <c r="C278" s="33">
        <f>VLOOKUP($B278,dados!$D$4:$G$500,2,FALSE)</f>
        <v>181588.24810999987</v>
      </c>
      <c r="D278" s="33">
        <f>VLOOKUP($B278,dados!$D$4:$G$500,3,FALSE)</f>
        <v>92144.936579999994</v>
      </c>
      <c r="E278" s="34">
        <f>VLOOKUP($B278,dados!$D$4:$G$500,4,FALSE)</f>
        <v>41762.773110000002</v>
      </c>
    </row>
    <row r="279" spans="1:5" s="31" customFormat="1" ht="12.75" x14ac:dyDescent="0.2">
      <c r="A279" s="35">
        <f t="shared" si="36"/>
        <v>2017</v>
      </c>
      <c r="B279" s="39">
        <v>42917</v>
      </c>
      <c r="C279" s="33">
        <f>VLOOKUP($B279,dados!$D$4:$G$500,2,FALSE)</f>
        <v>258011.71118999983</v>
      </c>
      <c r="D279" s="33">
        <f>VLOOKUP($B279,dados!$D$4:$G$500,3,FALSE)</f>
        <v>75054.79065000001</v>
      </c>
      <c r="E279" s="34">
        <f>VLOOKUP($B279,dados!$D$4:$G$500,4,FALSE)</f>
        <v>46915.33913</v>
      </c>
    </row>
    <row r="280" spans="1:5" s="31" customFormat="1" ht="12.75" x14ac:dyDescent="0.2">
      <c r="A280" s="35">
        <f t="shared" si="36"/>
        <v>2017</v>
      </c>
      <c r="B280" s="39">
        <v>42948</v>
      </c>
      <c r="C280" s="33">
        <f>VLOOKUP($B280,dados!$D$4:$G$500,2,FALSE)</f>
        <v>159054.67240999994</v>
      </c>
      <c r="D280" s="33">
        <f>VLOOKUP($B280,dados!$D$4:$G$500,3,FALSE)</f>
        <v>82046.603090000004</v>
      </c>
      <c r="E280" s="34">
        <f>VLOOKUP($B280,dados!$D$4:$G$500,4,FALSE)</f>
        <v>43901.788070000002</v>
      </c>
    </row>
    <row r="281" spans="1:5" s="31" customFormat="1" ht="12.75" x14ac:dyDescent="0.2">
      <c r="A281" s="35">
        <f t="shared" si="36"/>
        <v>2017</v>
      </c>
      <c r="B281" s="39">
        <v>42979</v>
      </c>
      <c r="C281" s="33">
        <f>VLOOKUP($B281,dados!$D$4:$G$500,2,FALSE)</f>
        <v>133552.35390000002</v>
      </c>
      <c r="D281" s="33">
        <f>VLOOKUP($B281,dados!$D$4:$G$500,3,FALSE)</f>
        <v>69632.618829999992</v>
      </c>
      <c r="E281" s="34">
        <f>VLOOKUP($B281,dados!$D$4:$G$500,4,FALSE)</f>
        <v>46892.262119999999</v>
      </c>
    </row>
    <row r="282" spans="1:5" s="31" customFormat="1" ht="12.75" x14ac:dyDescent="0.2">
      <c r="A282" s="35">
        <f t="shared" si="36"/>
        <v>2017</v>
      </c>
      <c r="B282" s="39">
        <v>43009</v>
      </c>
      <c r="C282" s="33">
        <f>VLOOKUP($B282,dados!$D$4:$G$500,2,FALSE)</f>
        <v>151352.93576999998</v>
      </c>
      <c r="D282" s="33">
        <f>VLOOKUP($B282,dados!$D$4:$G$500,3,FALSE)</f>
        <v>83460.612200000003</v>
      </c>
      <c r="E282" s="34">
        <f>VLOOKUP($B282,dados!$D$4:$G$500,4,FALSE)</f>
        <v>59179.140329999995</v>
      </c>
    </row>
    <row r="283" spans="1:5" s="31" customFormat="1" ht="12.75" x14ac:dyDescent="0.2">
      <c r="A283" s="35">
        <f t="shared" si="36"/>
        <v>2017</v>
      </c>
      <c r="B283" s="39">
        <v>43040</v>
      </c>
      <c r="C283" s="33">
        <f>VLOOKUP($B283,dados!$D$4:$G$500,2,FALSE)</f>
        <v>155677.09225999995</v>
      </c>
      <c r="D283" s="33">
        <f>VLOOKUP($B283,dados!$D$4:$G$500,3,FALSE)</f>
        <v>77868.790599999993</v>
      </c>
      <c r="E283" s="34">
        <f>VLOOKUP($B283,dados!$D$4:$G$500,4,FALSE)</f>
        <v>48323.111680000002</v>
      </c>
    </row>
    <row r="284" spans="1:5" s="31" customFormat="1" ht="12.75" x14ac:dyDescent="0.2">
      <c r="A284" s="35">
        <f t="shared" si="36"/>
        <v>2017</v>
      </c>
      <c r="B284" s="39">
        <v>43070</v>
      </c>
      <c r="C284" s="33">
        <f>VLOOKUP($B284,dados!$D$4:$G$500,2,FALSE)</f>
        <v>322360.34753999993</v>
      </c>
      <c r="D284" s="33">
        <f>VLOOKUP($B284,dados!$D$4:$G$500,3,FALSE)</f>
        <v>112046.273</v>
      </c>
      <c r="E284" s="34">
        <f>VLOOKUP($B284,dados!$D$4:$G$500,4,FALSE)</f>
        <v>66671.85977000001</v>
      </c>
    </row>
    <row r="285" spans="1:5" s="31" customFormat="1" ht="12.75" x14ac:dyDescent="0.2">
      <c r="A285" s="35"/>
      <c r="B285" s="39"/>
      <c r="C285" s="33"/>
      <c r="D285" s="33"/>
      <c r="E285" s="34"/>
    </row>
    <row r="286" spans="1:5" s="31" customFormat="1" ht="12.75" x14ac:dyDescent="0.2">
      <c r="A286" s="51">
        <f>A287</f>
        <v>2018</v>
      </c>
      <c r="B286" s="43" t="s">
        <v>29</v>
      </c>
      <c r="C286" s="41">
        <f>SUM(C287:C298)</f>
        <v>2444665.9673899999</v>
      </c>
      <c r="D286" s="41">
        <f t="shared" ref="D286" si="43">SUM(D287:D298)</f>
        <v>1153817.17344</v>
      </c>
      <c r="E286" s="42">
        <f t="shared" ref="E286" si="44">SUM(E287:E298)</f>
        <v>797630.62144999998</v>
      </c>
    </row>
    <row r="287" spans="1:5" s="31" customFormat="1" ht="12.75" x14ac:dyDescent="0.2">
      <c r="A287" s="35">
        <f t="shared" si="36"/>
        <v>2018</v>
      </c>
      <c r="B287" s="39">
        <v>43101</v>
      </c>
      <c r="C287" s="33">
        <f>VLOOKUP($B287,dados!$D$4:$G$500,2,FALSE)</f>
        <v>190351.02453</v>
      </c>
      <c r="D287" s="33">
        <f>VLOOKUP($B287,dados!$D$4:$G$500,3,FALSE)</f>
        <v>94354.531419999999</v>
      </c>
      <c r="E287" s="34">
        <f>VLOOKUP($B287,dados!$D$4:$G$500,4,FALSE)</f>
        <v>70246.451860000001</v>
      </c>
    </row>
    <row r="288" spans="1:5" s="31" customFormat="1" ht="12.75" x14ac:dyDescent="0.2">
      <c r="A288" s="35">
        <f t="shared" si="36"/>
        <v>2018</v>
      </c>
      <c r="B288" s="39">
        <v>43132</v>
      </c>
      <c r="C288" s="33">
        <f>VLOOKUP($B288,dados!$D$4:$G$500,2,FALSE)</f>
        <v>248848.32029999999</v>
      </c>
      <c r="D288" s="33">
        <f>VLOOKUP($B288,dados!$D$4:$G$500,3,FALSE)</f>
        <v>132232.60631999999</v>
      </c>
      <c r="E288" s="34">
        <f>VLOOKUP($B288,dados!$D$4:$G$500,4,FALSE)</f>
        <v>71661.961379999993</v>
      </c>
    </row>
    <row r="289" spans="1:5" s="31" customFormat="1" ht="12.75" x14ac:dyDescent="0.2">
      <c r="A289" s="35">
        <f t="shared" si="36"/>
        <v>2018</v>
      </c>
      <c r="B289" s="39">
        <v>43160</v>
      </c>
      <c r="C289" s="33">
        <f>VLOOKUP($B289,dados!$D$4:$G$500,2,FALSE)</f>
        <v>167572.20793</v>
      </c>
      <c r="D289" s="33">
        <f>VLOOKUP($B289,dados!$D$4:$G$500,3,FALSE)</f>
        <v>85158.541209999996</v>
      </c>
      <c r="E289" s="34">
        <f>VLOOKUP($B289,dados!$D$4:$G$500,4,FALSE)</f>
        <v>59769.498759999995</v>
      </c>
    </row>
    <row r="290" spans="1:5" s="31" customFormat="1" ht="12.75" x14ac:dyDescent="0.2">
      <c r="A290" s="35">
        <f t="shared" si="36"/>
        <v>2018</v>
      </c>
      <c r="B290" s="39">
        <v>43191</v>
      </c>
      <c r="C290" s="33">
        <f>VLOOKUP($B290,dados!$D$4:$G$500,2,FALSE)</f>
        <v>175694.0007400001</v>
      </c>
      <c r="D290" s="33">
        <f>VLOOKUP($B290,dados!$D$4:$G$500,3,FALSE)</f>
        <v>90299.873250000004</v>
      </c>
      <c r="E290" s="34">
        <f>VLOOKUP($B290,dados!$D$4:$G$500,4,FALSE)</f>
        <v>63811.740330000001</v>
      </c>
    </row>
    <row r="291" spans="1:5" s="31" customFormat="1" ht="12.75" x14ac:dyDescent="0.2">
      <c r="A291" s="35">
        <f t="shared" si="36"/>
        <v>2018</v>
      </c>
      <c r="B291" s="39">
        <v>43221</v>
      </c>
      <c r="C291" s="33">
        <f>VLOOKUP($B291,dados!$D$4:$G$500,2,FALSE)</f>
        <v>215619.22208999982</v>
      </c>
      <c r="D291" s="33">
        <f>VLOOKUP($B291,dados!$D$4:$G$500,3,FALSE)</f>
        <v>110636.32594</v>
      </c>
      <c r="E291" s="34">
        <f>VLOOKUP($B291,dados!$D$4:$G$500,4,FALSE)</f>
        <v>65034.548340000001</v>
      </c>
    </row>
    <row r="292" spans="1:5" s="31" customFormat="1" ht="12.75" x14ac:dyDescent="0.2">
      <c r="A292" s="35">
        <f t="shared" si="36"/>
        <v>2018</v>
      </c>
      <c r="B292" s="39">
        <v>43252</v>
      </c>
      <c r="C292" s="33">
        <f>VLOOKUP($B292,dados!$D$4:$G$500,2,FALSE)</f>
        <v>201917.14788999996</v>
      </c>
      <c r="D292" s="33">
        <f>VLOOKUP($B292,dados!$D$4:$G$500,3,FALSE)</f>
        <v>109044.08959</v>
      </c>
      <c r="E292" s="34">
        <f>VLOOKUP($B292,dados!$D$4:$G$500,4,FALSE)</f>
        <v>71416.668659999996</v>
      </c>
    </row>
    <row r="293" spans="1:5" s="31" customFormat="1" ht="12.75" x14ac:dyDescent="0.2">
      <c r="A293" s="35">
        <f t="shared" si="36"/>
        <v>2018</v>
      </c>
      <c r="B293" s="39">
        <v>43282</v>
      </c>
      <c r="C293" s="33">
        <f>VLOOKUP($B293,dados!$D$4:$G$500,2,FALSE)</f>
        <v>256465.60297999988</v>
      </c>
      <c r="D293" s="33">
        <f>VLOOKUP($B293,dados!$D$4:$G$500,3,FALSE)</f>
        <v>70740.446110000004</v>
      </c>
      <c r="E293" s="34">
        <f>VLOOKUP($B293,dados!$D$4:$G$500,4,FALSE)</f>
        <v>60099.491090000003</v>
      </c>
    </row>
    <row r="294" spans="1:5" s="31" customFormat="1" ht="12.75" x14ac:dyDescent="0.2">
      <c r="A294" s="35">
        <f t="shared" si="36"/>
        <v>2018</v>
      </c>
      <c r="B294" s="39">
        <v>43313</v>
      </c>
      <c r="C294" s="33">
        <f>VLOOKUP($B294,dados!$D$4:$G$500,2,FALSE)</f>
        <v>173006.38796999995</v>
      </c>
      <c r="D294" s="33">
        <f>VLOOKUP($B294,dados!$D$4:$G$500,3,FALSE)</f>
        <v>90021.744879999998</v>
      </c>
      <c r="E294" s="34">
        <f>VLOOKUP($B294,dados!$D$4:$G$500,4,FALSE)</f>
        <v>64998.67239</v>
      </c>
    </row>
    <row r="295" spans="1:5" s="31" customFormat="1" ht="12.75" x14ac:dyDescent="0.2">
      <c r="A295" s="35">
        <f t="shared" si="36"/>
        <v>2018</v>
      </c>
      <c r="B295" s="39">
        <v>43344</v>
      </c>
      <c r="C295" s="33">
        <f>VLOOKUP($B295,dados!$D$4:$G$500,2,FALSE)</f>
        <v>130481.54968999993</v>
      </c>
      <c r="D295" s="33">
        <f>VLOOKUP($B295,dados!$D$4:$G$500,3,FALSE)</f>
        <v>67329.999939999994</v>
      </c>
      <c r="E295" s="34">
        <f>VLOOKUP($B295,dados!$D$4:$G$500,4,FALSE)</f>
        <v>64989.429750000003</v>
      </c>
    </row>
    <row r="296" spans="1:5" s="31" customFormat="1" ht="12.75" x14ac:dyDescent="0.2">
      <c r="A296" s="35">
        <f t="shared" si="36"/>
        <v>2018</v>
      </c>
      <c r="B296" s="39">
        <v>43374</v>
      </c>
      <c r="C296" s="33">
        <f>VLOOKUP($B296,dados!$D$4:$G$500,2,FALSE)</f>
        <v>148226.19424000001</v>
      </c>
      <c r="D296" s="33">
        <f>VLOOKUP($B296,dados!$D$4:$G$500,3,FALSE)</f>
        <v>74620.423250000007</v>
      </c>
      <c r="E296" s="34">
        <f>VLOOKUP($B296,dados!$D$4:$G$500,4,FALSE)</f>
        <v>65963.739880000008</v>
      </c>
    </row>
    <row r="297" spans="1:5" s="31" customFormat="1" ht="12.75" x14ac:dyDescent="0.2">
      <c r="A297" s="35">
        <f t="shared" si="36"/>
        <v>2018</v>
      </c>
      <c r="B297" s="39">
        <v>43405</v>
      </c>
      <c r="C297" s="33">
        <f>VLOOKUP($B297,dados!$D$4:$G$500,2,FALSE)</f>
        <v>186189.72936999993</v>
      </c>
      <c r="D297" s="33">
        <f>VLOOKUP($B297,dados!$D$4:$G$500,3,FALSE)</f>
        <v>97775.707349999997</v>
      </c>
      <c r="E297" s="34">
        <f>VLOOKUP($B297,dados!$D$4:$G$500,4,FALSE)</f>
        <v>63329.106110000001</v>
      </c>
    </row>
    <row r="298" spans="1:5" s="31" customFormat="1" ht="12.75" x14ac:dyDescent="0.2">
      <c r="A298" s="35">
        <f t="shared" si="36"/>
        <v>2018</v>
      </c>
      <c r="B298" s="39">
        <v>43435</v>
      </c>
      <c r="C298" s="33">
        <f>VLOOKUP($B298,dados!$D$4:$G$500,2,FALSE)</f>
        <v>350294.57965999993</v>
      </c>
      <c r="D298" s="33">
        <f>VLOOKUP($B298,dados!$D$4:$G$500,3,FALSE)</f>
        <v>131602.88417999999</v>
      </c>
      <c r="E298" s="34">
        <f>VLOOKUP($B298,dados!$D$4:$G$500,4,FALSE)</f>
        <v>76309.312900000004</v>
      </c>
    </row>
    <row r="299" spans="1:5" s="31" customFormat="1" ht="12.75" x14ac:dyDescent="0.2">
      <c r="A299" s="35"/>
      <c r="B299" s="39"/>
      <c r="C299" s="33"/>
      <c r="D299" s="33"/>
      <c r="E299" s="34"/>
    </row>
    <row r="300" spans="1:5" s="31" customFormat="1" ht="12.75" x14ac:dyDescent="0.2">
      <c r="A300" s="51">
        <f>A301</f>
        <v>2019</v>
      </c>
      <c r="B300" s="43" t="s">
        <v>29</v>
      </c>
      <c r="C300" s="41">
        <f>SUM(C301:C312)</f>
        <v>2669889.0308400001</v>
      </c>
      <c r="D300" s="41">
        <f t="shared" ref="D300" si="45">SUM(D301:D312)</f>
        <v>1264841.45358</v>
      </c>
      <c r="E300" s="42">
        <f t="shared" ref="E300" si="46">SUM(E301:E312)</f>
        <v>734166.65044999984</v>
      </c>
    </row>
    <row r="301" spans="1:5" s="31" customFormat="1" ht="12.75" x14ac:dyDescent="0.2">
      <c r="A301" s="35">
        <f t="shared" si="36"/>
        <v>2019</v>
      </c>
      <c r="B301" s="39">
        <v>43466</v>
      </c>
      <c r="C301" s="33">
        <f>dados!E256</f>
        <v>238017.03729999994</v>
      </c>
      <c r="D301" s="33">
        <f>dados!F256</f>
        <v>122602.41545</v>
      </c>
      <c r="E301" s="34">
        <f>dados!G256</f>
        <v>58568.522299999997</v>
      </c>
    </row>
    <row r="302" spans="1:5" s="31" customFormat="1" ht="12.75" x14ac:dyDescent="0.2">
      <c r="A302" s="35">
        <f t="shared" si="36"/>
        <v>2019</v>
      </c>
      <c r="B302" s="39">
        <v>43497</v>
      </c>
      <c r="C302" s="33">
        <f>dados!E257</f>
        <v>261447.46415999997</v>
      </c>
      <c r="D302" s="33">
        <f>dados!F257</f>
        <v>132726.16378</v>
      </c>
      <c r="E302" s="34">
        <f>dados!G257</f>
        <v>61998.188990000002</v>
      </c>
    </row>
    <row r="303" spans="1:5" s="31" customFormat="1" ht="12.75" x14ac:dyDescent="0.2">
      <c r="A303" s="35">
        <f t="shared" si="36"/>
        <v>2019</v>
      </c>
      <c r="B303" s="39">
        <v>43525</v>
      </c>
      <c r="C303" s="33">
        <f>dados!E258</f>
        <v>121781.92378999999</v>
      </c>
      <c r="D303" s="33">
        <f>dados!F258</f>
        <v>66852.997940000001</v>
      </c>
      <c r="E303" s="34">
        <f>dados!G258</f>
        <v>49859.947959999998</v>
      </c>
    </row>
    <row r="304" spans="1:5" s="31" customFormat="1" ht="12.75" x14ac:dyDescent="0.2">
      <c r="A304" s="35">
        <f t="shared" si="36"/>
        <v>2019</v>
      </c>
      <c r="B304" s="39">
        <v>43556</v>
      </c>
      <c r="C304" s="33">
        <f>dados!E259</f>
        <v>190982.48355000009</v>
      </c>
      <c r="D304" s="33">
        <f>dados!F259</f>
        <v>94750.11748999999</v>
      </c>
      <c r="E304" s="34">
        <f>dados!G259</f>
        <v>59440.278570000002</v>
      </c>
    </row>
    <row r="305" spans="1:5" s="31" customFormat="1" ht="12.75" x14ac:dyDescent="0.2">
      <c r="A305" s="35">
        <f t="shared" si="36"/>
        <v>2019</v>
      </c>
      <c r="B305" s="39">
        <v>43586</v>
      </c>
      <c r="C305" s="33">
        <f>dados!E260</f>
        <v>245092.73867000014</v>
      </c>
      <c r="D305" s="33">
        <f>dados!F260</f>
        <v>125198.05093000001</v>
      </c>
      <c r="E305" s="34">
        <f>dados!G260</f>
        <v>53405.456509999996</v>
      </c>
    </row>
    <row r="306" spans="1:5" s="31" customFormat="1" ht="12.75" x14ac:dyDescent="0.2">
      <c r="A306" s="35">
        <f t="shared" ref="A306:A308" si="47">YEAR(B306)</f>
        <v>2019</v>
      </c>
      <c r="B306" s="39">
        <v>43617</v>
      </c>
      <c r="C306" s="33">
        <f>dados!E261</f>
        <v>193059.01228000002</v>
      </c>
      <c r="D306" s="33">
        <f>dados!F261</f>
        <v>95051.511969999992</v>
      </c>
      <c r="E306" s="34">
        <f>dados!G261</f>
        <v>62336.005210000003</v>
      </c>
    </row>
    <row r="307" spans="1:5" s="31" customFormat="1" ht="12.75" x14ac:dyDescent="0.2">
      <c r="A307" s="35">
        <f t="shared" si="47"/>
        <v>2019</v>
      </c>
      <c r="B307" s="39">
        <v>43647</v>
      </c>
      <c r="C307" s="33">
        <f>dados!E262</f>
        <v>290313.28518000018</v>
      </c>
      <c r="D307" s="33">
        <f>dados!F262</f>
        <v>82261.886989999999</v>
      </c>
      <c r="E307" s="34">
        <f>dados!G262</f>
        <v>63104.16721</v>
      </c>
    </row>
    <row r="308" spans="1:5" s="31" customFormat="1" ht="12.75" x14ac:dyDescent="0.2">
      <c r="A308" s="35">
        <f t="shared" si="47"/>
        <v>2019</v>
      </c>
      <c r="B308" s="39">
        <v>43678</v>
      </c>
      <c r="C308" s="33">
        <f>dados!E263</f>
        <v>192707.45652999994</v>
      </c>
      <c r="D308" s="33">
        <f>dados!F263</f>
        <v>103567.60802</v>
      </c>
      <c r="E308" s="34">
        <f>dados!G263</f>
        <v>56478.782759999995</v>
      </c>
    </row>
    <row r="309" spans="1:5" s="31" customFormat="1" ht="12.75" x14ac:dyDescent="0.2">
      <c r="A309" s="35">
        <f t="shared" ref="A309:A310" si="48">YEAR(B309)</f>
        <v>2019</v>
      </c>
      <c r="B309" s="39">
        <v>43709</v>
      </c>
      <c r="C309" s="33">
        <f>dados!E264</f>
        <v>171538.05684</v>
      </c>
      <c r="D309" s="33">
        <f>dados!F264</f>
        <v>97303.754589999997</v>
      </c>
      <c r="E309" s="34">
        <f>dados!G264</f>
        <v>68849.045859999998</v>
      </c>
    </row>
    <row r="310" spans="1:5" s="31" customFormat="1" ht="12.75" x14ac:dyDescent="0.2">
      <c r="A310" s="35">
        <f t="shared" si="48"/>
        <v>2019</v>
      </c>
      <c r="B310" s="39">
        <v>43739</v>
      </c>
      <c r="C310" s="33">
        <f>dados!E265</f>
        <v>157923.05913000001</v>
      </c>
      <c r="D310" s="33">
        <f>dados!F265</f>
        <v>78065.558739999993</v>
      </c>
      <c r="E310" s="34">
        <f>dados!G265</f>
        <v>60930.620299999995</v>
      </c>
    </row>
    <row r="311" spans="1:5" s="31" customFormat="1" ht="12.75" x14ac:dyDescent="0.2">
      <c r="A311" s="35">
        <f t="shared" ref="A311:A312" si="49">YEAR(B311)</f>
        <v>2019</v>
      </c>
      <c r="B311" s="39">
        <v>43770</v>
      </c>
      <c r="C311" s="33">
        <f>dados!E266</f>
        <v>214324.18693</v>
      </c>
      <c r="D311" s="33">
        <f>dados!F266</f>
        <v>117428.24759</v>
      </c>
      <c r="E311" s="34">
        <f>dados!G266</f>
        <v>63986.000340000006</v>
      </c>
    </row>
    <row r="312" spans="1:5" s="31" customFormat="1" ht="12.75" x14ac:dyDescent="0.2">
      <c r="A312" s="35">
        <f t="shared" si="49"/>
        <v>2019</v>
      </c>
      <c r="B312" s="39">
        <v>43800</v>
      </c>
      <c r="C312" s="33">
        <f>dados!E267</f>
        <v>392702.32648000022</v>
      </c>
      <c r="D312" s="33">
        <f>dados!F267</f>
        <v>149033.14009</v>
      </c>
      <c r="E312" s="34">
        <f>dados!G267</f>
        <v>75209.634439999994</v>
      </c>
    </row>
    <row r="313" spans="1:5" s="31" customFormat="1" ht="13.5" thickBot="1" x14ac:dyDescent="0.25">
      <c r="A313" s="36"/>
      <c r="B313" s="40"/>
      <c r="C313" s="37"/>
      <c r="D313" s="37"/>
      <c r="E313" s="38"/>
    </row>
    <row r="314" spans="1:5" s="31" customFormat="1" ht="12.75" x14ac:dyDescent="0.2">
      <c r="A314" s="63" t="s">
        <v>20</v>
      </c>
      <c r="B314" s="64"/>
      <c r="C314" s="64"/>
      <c r="D314" s="64"/>
      <c r="E314" s="65"/>
    </row>
    <row r="315" spans="1:5" s="31" customFormat="1" ht="35.25" customHeight="1" x14ac:dyDescent="0.2">
      <c r="A315" s="66" t="str">
        <f>CONCATENATE("Variação do mês de ",(TEXT(A323,"MMMM"))&amp;" de "&amp;YEAR(A323)&amp;" /  mês anterior")</f>
        <v>Variação do mês de dezembro de 2019 /  mês anterior</v>
      </c>
      <c r="B315" s="67"/>
      <c r="C315" s="67">
        <f>IFERROR((C327-C328)/C328 * 100,"-")</f>
        <v>83.228189083605372</v>
      </c>
      <c r="D315" s="67">
        <f>(D327-D328)/ABS(D328) * 100</f>
        <v>26.914216254293677</v>
      </c>
      <c r="E315" s="68">
        <f>IFERROR((E327-E328)/E328 * 100,"-")</f>
        <v>17.540765230458828</v>
      </c>
    </row>
    <row r="316" spans="1:5" s="31" customFormat="1" ht="37.5" customHeight="1" x14ac:dyDescent="0.2">
      <c r="A316" s="69" t="str">
        <f>CONCATENATE("Variação de "&amp;TEXT(A323,"MMMM")&amp;" de "&amp;YEAR(A323)&amp;" /  igual mês do ano anterior")</f>
        <v>Variação de dezembro de 2019 /  igual mês do ano anterior</v>
      </c>
      <c r="B316" s="67"/>
      <c r="C316" s="67">
        <f t="shared" ref="C316:E316" si="50">IFERROR((C327-C329)/C329*100,"-")</f>
        <v>12.106309741121816</v>
      </c>
      <c r="D316" s="67">
        <f>IFERROR((D327-D329)/ABS(D329)*100,"-")</f>
        <v>13.244585039762317</v>
      </c>
      <c r="E316" s="68">
        <f t="shared" si="50"/>
        <v>-1.4410802799929419</v>
      </c>
    </row>
    <row r="317" spans="1:5" ht="47.25" customHeight="1" thickBot="1" x14ac:dyDescent="0.3">
      <c r="A317" s="70" t="str">
        <f>CONCATENATE("Variação acumulada no ano "&amp;YEAR(A323)," até "&amp;TEXT(A323,"MMMM")&amp;"/ igual período do ano anterior")</f>
        <v>Variação acumulada no ano 2019 até dezembro/ igual período do ano anterior</v>
      </c>
      <c r="B317" s="71"/>
      <c r="C317" s="71">
        <f t="shared" ref="C317:E317" si="51">IFERROR((C330-C331)/C331 * 100,"-")</f>
        <v>9.212835882460265</v>
      </c>
      <c r="D317" s="71">
        <f>IFERROR((D330-D331)/ABS(D331) * 100,"-")</f>
        <v>9.6223459570281165</v>
      </c>
      <c r="E317" s="72">
        <f t="shared" si="51"/>
        <v>-7.9565615077101723</v>
      </c>
    </row>
    <row r="318" spans="1:5" x14ac:dyDescent="0.25">
      <c r="A318" s="159" t="s">
        <v>76</v>
      </c>
      <c r="B318" s="157"/>
      <c r="C318" s="157"/>
      <c r="D318" s="157"/>
      <c r="E318" s="157"/>
    </row>
    <row r="319" spans="1:5" x14ac:dyDescent="0.25">
      <c r="A319" s="160" t="s">
        <v>15</v>
      </c>
      <c r="B319" s="158"/>
      <c r="C319" s="158"/>
      <c r="D319" s="158"/>
      <c r="E319" s="158"/>
    </row>
    <row r="320" spans="1:5" x14ac:dyDescent="0.25">
      <c r="A320" s="31"/>
      <c r="B320" s="75"/>
      <c r="C320" s="75"/>
      <c r="D320" s="75"/>
      <c r="E320" s="75"/>
    </row>
    <row r="321" spans="1:5" x14ac:dyDescent="0.25">
      <c r="A321" s="73"/>
      <c r="B321" s="75"/>
      <c r="C321" s="75"/>
      <c r="D321" s="75"/>
      <c r="E321" s="75"/>
    </row>
    <row r="322" spans="1:5" x14ac:dyDescent="0.25">
      <c r="A322" s="181" t="s">
        <v>41</v>
      </c>
      <c r="B322" s="182"/>
      <c r="C322" s="182"/>
      <c r="D322" s="182"/>
      <c r="E322" s="182"/>
    </row>
    <row r="323" spans="1:5" x14ac:dyDescent="0.25">
      <c r="A323" s="183">
        <v>43800</v>
      </c>
      <c r="B323" s="184"/>
      <c r="C323" s="184"/>
      <c r="D323" s="184"/>
      <c r="E323" s="184"/>
    </row>
    <row r="324" spans="1:5" x14ac:dyDescent="0.25">
      <c r="A324" s="76"/>
      <c r="B324" s="8"/>
      <c r="C324" s="8"/>
      <c r="D324" s="8"/>
      <c r="E324" s="8"/>
    </row>
    <row r="325" spans="1:5" hidden="1" x14ac:dyDescent="0.25">
      <c r="A325" s="76"/>
      <c r="B325" s="8"/>
      <c r="C325" s="8"/>
      <c r="D325" s="8"/>
      <c r="E325" s="8"/>
    </row>
    <row r="326" spans="1:5" hidden="1" x14ac:dyDescent="0.25">
      <c r="A326" s="76"/>
      <c r="B326" s="8"/>
      <c r="C326" s="8"/>
      <c r="D326" s="8"/>
      <c r="E326" s="8"/>
    </row>
    <row r="327" spans="1:5" hidden="1" x14ac:dyDescent="0.25">
      <c r="A327" s="77">
        <f>A323</f>
        <v>43800</v>
      </c>
      <c r="B327" s="78"/>
      <c r="C327" s="78">
        <f>VLOOKUP(YEAR($A$323)&amp;MONTH($A$323),dados!$A$4:$AE$14962,5,FALSE)</f>
        <v>392702.32648000022</v>
      </c>
      <c r="D327" s="78">
        <f>VLOOKUP(YEAR($A$323)&amp;MONTH($A$323),dados!$A$4:$AE$14962,6,FALSE)</f>
        <v>149033.14009</v>
      </c>
      <c r="E327" s="78">
        <f>VLOOKUP(YEAR($A$323)&amp;MONTH($A$323),dados!$A$4:$AE$14962,7,FALSE)</f>
        <v>75209.634439999994</v>
      </c>
    </row>
    <row r="328" spans="1:5" hidden="1" x14ac:dyDescent="0.25">
      <c r="A328" s="77">
        <f>EDATE(A323,-1)</f>
        <v>43770</v>
      </c>
      <c r="B328" s="78"/>
      <c r="C328" s="78">
        <f>VLOOKUP(YEAR($A$328)&amp;MONTH($A$328),dados!$A$4:$AE$14962,5,FALSE)</f>
        <v>214324.18693</v>
      </c>
      <c r="D328" s="78">
        <f>VLOOKUP(YEAR($A$328)&amp;MONTH($A$328),dados!$A$4:$AE$14962,6,FALSE)</f>
        <v>117428.24759</v>
      </c>
      <c r="E328" s="78">
        <f>VLOOKUP(YEAR($A$328)&amp;MONTH($A$328),dados!$A$4:$AE$14962,7,FALSE)</f>
        <v>63986.000340000006</v>
      </c>
    </row>
    <row r="329" spans="1:5" hidden="1" x14ac:dyDescent="0.25">
      <c r="A329" s="79">
        <f>EDATE(A323,-12)</f>
        <v>43435</v>
      </c>
      <c r="B329" s="78"/>
      <c r="C329" s="78">
        <f>VLOOKUP(YEAR($A$329)&amp;MONTH($A$329),dados!$A$4:$AE$14962,5,FALSE)</f>
        <v>350294.57965999993</v>
      </c>
      <c r="D329" s="78">
        <f>VLOOKUP(YEAR($A$329)&amp;MONTH($A$329),dados!$A$4:$AE$14962,6,FALSE)</f>
        <v>131602.88417999999</v>
      </c>
      <c r="E329" s="78">
        <f>VLOOKUP(YEAR($A$329)&amp;MONTH($A$329),dados!$A$4:$AE$14962,7,FALSE)</f>
        <v>76309.312900000004</v>
      </c>
    </row>
    <row r="330" spans="1:5" ht="30" hidden="1" x14ac:dyDescent="0.25">
      <c r="A330" s="79" t="str">
        <f>CONCATENATE("Ano de "&amp;(YEAR(A327)&amp;" acumulado até "&amp;(TEXT(A327,"MMMM"))))</f>
        <v>Ano de 2019 acumulado até dezembro</v>
      </c>
      <c r="B330" s="78"/>
      <c r="C330" s="78">
        <f>VLOOKUP(YEAR($A$323)&amp;MONTH($A$323),dados_acumulados!$A$4:$AE$14962,5,FALSE)</f>
        <v>2669889.0308400001</v>
      </c>
      <c r="D330" s="78">
        <f>VLOOKUP(YEAR($A$323)&amp;MONTH($A$323),dados_acumulados!$A$4:$AE$14962,6,FALSE)</f>
        <v>1264841.45358</v>
      </c>
      <c r="E330" s="78">
        <f>VLOOKUP(YEAR($A$323)&amp;MONTH($A$323),dados_acumulados!$A$4:$AE$14962,7,FALSE)</f>
        <v>734166.65044999984</v>
      </c>
    </row>
    <row r="331" spans="1:5" ht="30" hidden="1" x14ac:dyDescent="0.25">
      <c r="A331" s="79" t="str">
        <f>CONCATENATE("Ano de "&amp;(YEAR(A329)&amp;" acumulado até "&amp;(TEXT(A329,"MMMM"))))</f>
        <v>Ano de 2018 acumulado até dezembro</v>
      </c>
      <c r="B331" s="78"/>
      <c r="C331" s="78">
        <f>VLOOKUP(YEAR($A$329)&amp;MONTH($A$329),dados_acumulados!$A$4:$AE$14962,5,FALSE)</f>
        <v>2444665.9673899999</v>
      </c>
      <c r="D331" s="78">
        <f>VLOOKUP(YEAR($A$329)&amp;MONTH($A$329),dados_acumulados!$A$4:$AE$14962,6,FALSE)</f>
        <v>1153817.17344</v>
      </c>
      <c r="E331" s="78">
        <f>VLOOKUP(YEAR($A$329)&amp;MONTH($A$329),dados_acumulados!$A$4:$AE$14962,7,FALSE)</f>
        <v>797630.62144999998</v>
      </c>
    </row>
    <row r="332" spans="1:5" hidden="1" x14ac:dyDescent="0.25">
      <c r="A332" s="76"/>
      <c r="B332" s="8"/>
      <c r="C332" s="8"/>
      <c r="D332" s="8"/>
      <c r="E332" s="8"/>
    </row>
    <row r="333" spans="1:5" hidden="1" x14ac:dyDescent="0.25">
      <c r="A333" s="76"/>
      <c r="B333" s="8"/>
      <c r="C333" s="8"/>
      <c r="D333" s="8"/>
      <c r="E333" s="8"/>
    </row>
    <row r="334" spans="1:5" hidden="1" x14ac:dyDescent="0.25">
      <c r="A334" s="76"/>
      <c r="B334" s="8"/>
      <c r="C334" s="8"/>
      <c r="D334" s="8"/>
      <c r="E334" s="8"/>
    </row>
    <row r="335" spans="1:5" hidden="1" x14ac:dyDescent="0.25">
      <c r="A335" s="76"/>
      <c r="B335" s="8"/>
      <c r="C335" s="8"/>
      <c r="D335" s="8"/>
      <c r="E335" s="8"/>
    </row>
    <row r="336" spans="1:5" hidden="1" x14ac:dyDescent="0.25">
      <c r="A336" s="76"/>
      <c r="B336" s="8"/>
      <c r="C336" s="8"/>
      <c r="D336" s="8"/>
      <c r="E336" s="8"/>
    </row>
    <row r="337" spans="1:5" hidden="1" x14ac:dyDescent="0.25">
      <c r="A337" s="76"/>
      <c r="B337" s="8"/>
      <c r="C337" s="8"/>
      <c r="D337" s="8"/>
      <c r="E337" s="8"/>
    </row>
    <row r="338" spans="1:5" x14ac:dyDescent="0.25">
      <c r="A338" s="76"/>
      <c r="B338" s="8"/>
      <c r="C338" s="8"/>
      <c r="D338" s="8"/>
      <c r="E338" s="8"/>
    </row>
    <row r="339" spans="1:5" x14ac:dyDescent="0.25">
      <c r="A339" s="76"/>
      <c r="B339" s="8"/>
      <c r="C339" s="8"/>
      <c r="D339" s="8"/>
      <c r="E339" s="8"/>
    </row>
    <row r="340" spans="1:5" x14ac:dyDescent="0.25">
      <c r="C340" s="161"/>
      <c r="D340" s="161"/>
      <c r="E340" s="161"/>
    </row>
    <row r="341" spans="1:5" x14ac:dyDescent="0.25">
      <c r="C341" s="161"/>
      <c r="D341" s="161"/>
      <c r="E341" s="161"/>
    </row>
    <row r="342" spans="1:5" x14ac:dyDescent="0.25">
      <c r="C342" s="161"/>
      <c r="D342" s="161"/>
      <c r="E342" s="161"/>
    </row>
    <row r="343" spans="1:5" x14ac:dyDescent="0.25">
      <c r="A343" s="76"/>
      <c r="B343" s="8"/>
      <c r="C343" s="8"/>
      <c r="D343" s="8"/>
      <c r="E343" s="8"/>
    </row>
    <row r="344" spans="1:5" x14ac:dyDescent="0.25">
      <c r="A344" s="76"/>
      <c r="B344" s="8"/>
      <c r="C344" s="8"/>
      <c r="D344" s="8"/>
      <c r="E344" s="8"/>
    </row>
    <row r="345" spans="1:5" x14ac:dyDescent="0.25">
      <c r="A345" s="76"/>
      <c r="B345" s="8"/>
      <c r="C345" s="8"/>
      <c r="D345" s="8"/>
      <c r="E345" s="8"/>
    </row>
    <row r="346" spans="1:5" x14ac:dyDescent="0.25">
      <c r="A346" s="76"/>
      <c r="B346" s="8"/>
      <c r="C346" s="8"/>
      <c r="D346" s="8"/>
      <c r="E346" s="8"/>
    </row>
    <row r="347" spans="1:5" x14ac:dyDescent="0.25">
      <c r="A347" s="76"/>
      <c r="B347" s="8"/>
      <c r="C347" s="8"/>
      <c r="D347" s="8"/>
      <c r="E347" s="8"/>
    </row>
    <row r="348" spans="1:5" x14ac:dyDescent="0.25">
      <c r="A348" s="76"/>
      <c r="B348" s="8"/>
      <c r="C348" s="8"/>
      <c r="D348" s="8"/>
      <c r="E348" s="8"/>
    </row>
    <row r="349" spans="1:5" x14ac:dyDescent="0.25">
      <c r="A349" s="76"/>
      <c r="B349" s="8"/>
      <c r="C349" s="8"/>
      <c r="D349" s="8"/>
      <c r="E349" s="8"/>
    </row>
    <row r="350" spans="1:5" x14ac:dyDescent="0.25">
      <c r="A350" s="76"/>
      <c r="B350" s="8"/>
      <c r="C350" s="8"/>
      <c r="D350" s="8"/>
      <c r="E350" s="8"/>
    </row>
    <row r="351" spans="1:5" x14ac:dyDescent="0.25">
      <c r="A351"/>
      <c r="B351"/>
      <c r="C351"/>
      <c r="D351"/>
      <c r="E351"/>
    </row>
    <row r="352" spans="1:5" x14ac:dyDescent="0.25">
      <c r="A352"/>
      <c r="B352"/>
      <c r="C352"/>
      <c r="D352"/>
      <c r="E352"/>
    </row>
    <row r="353" spans="1:5" x14ac:dyDescent="0.25">
      <c r="A353"/>
      <c r="B353"/>
      <c r="C353"/>
      <c r="D353"/>
      <c r="E353"/>
    </row>
  </sheetData>
  <autoFilter ref="A4:E308">
    <filterColumn colId="2" showButton="0"/>
    <filterColumn colId="3" showButton="0"/>
  </autoFilter>
  <mergeCells count="5">
    <mergeCell ref="A322:E322"/>
    <mergeCell ref="A323:E323"/>
    <mergeCell ref="C4:E4"/>
    <mergeCell ref="B4:B5"/>
    <mergeCell ref="A4:A5"/>
  </mergeCells>
  <dataValidations count="1">
    <dataValidation type="list" allowBlank="1" showInputMessage="1" showErrorMessage="1" sqref="A323:E323">
      <formula1>lista_ind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topLeftCell="A21" workbookViewId="0">
      <selection activeCell="O24" sqref="O24"/>
    </sheetView>
  </sheetViews>
  <sheetFormatPr defaultRowHeight="11.25" x14ac:dyDescent="0.2"/>
  <cols>
    <col min="1" max="1" width="9.140625" style="8"/>
    <col min="2" max="3" width="9.28515625" style="8" bestFit="1" customWidth="1"/>
    <col min="4" max="4" width="14.7109375" style="1" customWidth="1"/>
    <col min="5" max="5" width="14" style="1" customWidth="1"/>
    <col min="6" max="6" width="14.28515625" style="1" bestFit="1" customWidth="1"/>
    <col min="7" max="7" width="15.85546875" style="1" bestFit="1" customWidth="1"/>
    <col min="8" max="8" width="14.28515625" style="1" bestFit="1" customWidth="1"/>
    <col min="9" max="10" width="13.85546875" style="1" bestFit="1" customWidth="1"/>
    <col min="11" max="11" width="17.42578125" style="1" bestFit="1" customWidth="1"/>
    <col min="12" max="12" width="14" style="1" bestFit="1" customWidth="1"/>
    <col min="13" max="13" width="14.85546875" style="1" bestFit="1" customWidth="1"/>
    <col min="14" max="14" width="14.28515625" style="1" bestFit="1" customWidth="1"/>
    <col min="15" max="15" width="12.28515625" style="1" bestFit="1" customWidth="1"/>
    <col min="16" max="16" width="11.42578125" style="1" customWidth="1"/>
    <col min="17" max="17" width="13.85546875" style="1" bestFit="1" customWidth="1"/>
    <col min="18" max="18" width="12.42578125" style="1" bestFit="1" customWidth="1"/>
    <col min="19" max="19" width="11.140625" style="1" bestFit="1" customWidth="1"/>
    <col min="20" max="20" width="12.5703125" style="1" customWidth="1"/>
    <col min="21" max="21" width="11" style="1" customWidth="1"/>
    <col min="22" max="22" width="12.28515625" style="1" bestFit="1" customWidth="1"/>
    <col min="23" max="23" width="13.85546875" style="1" bestFit="1" customWidth="1"/>
    <col min="24" max="24" width="16" style="1" bestFit="1" customWidth="1"/>
    <col min="25" max="16384" width="9.140625" style="8"/>
  </cols>
  <sheetData>
    <row r="1" spans="1:24" x14ac:dyDescent="0.2">
      <c r="E1" s="105" t="s">
        <v>42</v>
      </c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V1" s="88"/>
    </row>
    <row r="2" spans="1:24" x14ac:dyDescent="0.2">
      <c r="D2" s="89"/>
      <c r="E2" s="191" t="s">
        <v>43</v>
      </c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</row>
    <row r="3" spans="1:24" ht="56.25" x14ac:dyDescent="0.2">
      <c r="A3" s="8" t="s">
        <v>65</v>
      </c>
      <c r="B3" s="8" t="s">
        <v>66</v>
      </c>
      <c r="C3" s="8" t="s">
        <v>23</v>
      </c>
      <c r="D3" s="88" t="s">
        <v>67</v>
      </c>
      <c r="E3" s="90" t="s">
        <v>44</v>
      </c>
      <c r="F3" s="90" t="s">
        <v>45</v>
      </c>
      <c r="G3" s="90" t="s">
        <v>46</v>
      </c>
      <c r="H3" s="90" t="s">
        <v>47</v>
      </c>
      <c r="I3" s="90" t="s">
        <v>48</v>
      </c>
      <c r="J3" s="90" t="s">
        <v>49</v>
      </c>
      <c r="K3" s="90" t="s">
        <v>50</v>
      </c>
      <c r="L3" s="90" t="s">
        <v>51</v>
      </c>
      <c r="M3" s="90" t="s">
        <v>52</v>
      </c>
      <c r="N3" s="90" t="s">
        <v>53</v>
      </c>
      <c r="O3" s="90" t="s">
        <v>54</v>
      </c>
      <c r="P3" s="90" t="s">
        <v>55</v>
      </c>
      <c r="Q3" s="90" t="s">
        <v>56</v>
      </c>
      <c r="R3" s="90" t="s">
        <v>57</v>
      </c>
      <c r="S3" s="90" t="s">
        <v>58</v>
      </c>
      <c r="T3" s="90" t="s">
        <v>59</v>
      </c>
      <c r="U3" s="90" t="s">
        <v>60</v>
      </c>
      <c r="V3" s="90" t="s">
        <v>61</v>
      </c>
      <c r="W3" s="90" t="s">
        <v>62</v>
      </c>
      <c r="X3" s="91" t="s">
        <v>63</v>
      </c>
    </row>
    <row r="4" spans="1:24" x14ac:dyDescent="0.2">
      <c r="A4" s="1" t="str">
        <f>CONCATENATE(B4,C4)</f>
        <v>20171</v>
      </c>
      <c r="B4" s="1">
        <f>YEAR(D4)</f>
        <v>2017</v>
      </c>
      <c r="C4" s="1">
        <f>MONTH(D4)</f>
        <v>1</v>
      </c>
      <c r="D4" s="92">
        <v>42736</v>
      </c>
      <c r="E4" s="93">
        <v>543626.73</v>
      </c>
      <c r="F4" s="93">
        <v>132812851.49000001</v>
      </c>
      <c r="G4" s="93">
        <v>729509679.45000029</v>
      </c>
      <c r="H4" s="94">
        <v>540666850</v>
      </c>
      <c r="I4" s="94">
        <v>1659140.75</v>
      </c>
      <c r="J4" s="94">
        <v>6004148.1100000003</v>
      </c>
      <c r="K4" s="94">
        <v>944932180.4999994</v>
      </c>
      <c r="L4" s="94">
        <v>69559707.109999999</v>
      </c>
      <c r="M4" s="94">
        <v>39052173.370000005</v>
      </c>
      <c r="N4" s="94">
        <v>323614693.81999999</v>
      </c>
      <c r="O4" s="94">
        <v>197569.03000000003</v>
      </c>
      <c r="P4" s="94">
        <v>9895.36</v>
      </c>
      <c r="Q4" s="94">
        <v>6480039.0000000028</v>
      </c>
      <c r="R4" s="94">
        <v>5491412.4700000025</v>
      </c>
      <c r="S4" s="94">
        <v>335178.7699999999</v>
      </c>
      <c r="T4" s="94">
        <v>94567.9</v>
      </c>
      <c r="U4" s="94">
        <v>55188.579999999994</v>
      </c>
      <c r="V4" s="94">
        <v>405496.5799999999</v>
      </c>
      <c r="W4" s="94">
        <v>3701941.3499999992</v>
      </c>
      <c r="X4" s="94">
        <f t="shared" ref="X4:X22" si="0">SUM(E4:W4)</f>
        <v>2805126340.3699999</v>
      </c>
    </row>
    <row r="5" spans="1:24" x14ac:dyDescent="0.2">
      <c r="A5" s="1" t="str">
        <f t="shared" ref="A5:A39" si="1">CONCATENATE(B5,C5)</f>
        <v>20172</v>
      </c>
      <c r="B5" s="1">
        <f t="shared" ref="B5:B39" si="2">YEAR(D5)</f>
        <v>2017</v>
      </c>
      <c r="C5" s="1">
        <f t="shared" ref="C5:C39" si="3">MONTH(D5)</f>
        <v>2</v>
      </c>
      <c r="D5" s="92">
        <v>42767</v>
      </c>
      <c r="E5" s="93">
        <v>427207.32</v>
      </c>
      <c r="F5" s="93">
        <v>56348481.270000011</v>
      </c>
      <c r="G5" s="93">
        <v>763411108.34000063</v>
      </c>
      <c r="H5" s="94">
        <v>488645699.19</v>
      </c>
      <c r="I5" s="94">
        <v>1117950.99</v>
      </c>
      <c r="J5" s="94">
        <v>4899172.3200000022</v>
      </c>
      <c r="K5" s="94">
        <v>890200470.03000104</v>
      </c>
      <c r="L5" s="94">
        <v>75191632.530000001</v>
      </c>
      <c r="M5" s="94">
        <v>34541040.980000004</v>
      </c>
      <c r="N5" s="94">
        <v>347279835.27999991</v>
      </c>
      <c r="O5" s="94">
        <v>295034.62999999995</v>
      </c>
      <c r="P5" s="94">
        <v>3594.03</v>
      </c>
      <c r="Q5" s="94">
        <v>2685359.7199999993</v>
      </c>
      <c r="R5" s="94">
        <v>2786994.2499999995</v>
      </c>
      <c r="S5" s="94">
        <v>182786.60999999996</v>
      </c>
      <c r="T5" s="94">
        <v>133178.1</v>
      </c>
      <c r="U5" s="94">
        <v>54269</v>
      </c>
      <c r="V5" s="94">
        <v>390954.44999999995</v>
      </c>
      <c r="W5" s="94">
        <v>2109156.0499999998</v>
      </c>
      <c r="X5" s="94">
        <f t="shared" si="0"/>
        <v>2670703925.0900016</v>
      </c>
    </row>
    <row r="6" spans="1:24" x14ac:dyDescent="0.2">
      <c r="A6" s="1" t="str">
        <f t="shared" si="1"/>
        <v>20173</v>
      </c>
      <c r="B6" s="1">
        <f t="shared" si="2"/>
        <v>2017</v>
      </c>
      <c r="C6" s="1">
        <f t="shared" si="3"/>
        <v>3</v>
      </c>
      <c r="D6" s="92">
        <v>42795</v>
      </c>
      <c r="E6" s="93">
        <v>393843.33000000007</v>
      </c>
      <c r="F6" s="93">
        <v>52660266.419999972</v>
      </c>
      <c r="G6" s="93">
        <v>677644013.40999925</v>
      </c>
      <c r="H6" s="94">
        <v>382138153.94000006</v>
      </c>
      <c r="I6" s="94">
        <v>810037.84000000008</v>
      </c>
      <c r="J6" s="94">
        <v>3578718.94</v>
      </c>
      <c r="K6" s="94">
        <v>820830257.67999983</v>
      </c>
      <c r="L6" s="94">
        <v>65843454.789999984</v>
      </c>
      <c r="M6" s="94">
        <v>34686536.699999996</v>
      </c>
      <c r="N6" s="94">
        <v>320051671.18999994</v>
      </c>
      <c r="O6" s="94">
        <v>247213.33000000002</v>
      </c>
      <c r="P6" s="94">
        <v>39352.49</v>
      </c>
      <c r="Q6" s="94">
        <v>2659613.9400000004</v>
      </c>
      <c r="R6" s="94">
        <v>3192073.8500000006</v>
      </c>
      <c r="S6" s="94">
        <v>310163.86</v>
      </c>
      <c r="T6" s="94">
        <v>184279.12999999998</v>
      </c>
      <c r="U6" s="94">
        <v>52390.069999999992</v>
      </c>
      <c r="V6" s="94">
        <v>268562.15000000002</v>
      </c>
      <c r="W6" s="94">
        <v>1197391.3299999998</v>
      </c>
      <c r="X6" s="94">
        <f t="shared" si="0"/>
        <v>2366787994.3899994</v>
      </c>
    </row>
    <row r="7" spans="1:24" x14ac:dyDescent="0.2">
      <c r="A7" s="1" t="str">
        <f t="shared" si="1"/>
        <v>20174</v>
      </c>
      <c r="B7" s="1">
        <f t="shared" si="2"/>
        <v>2017</v>
      </c>
      <c r="C7" s="1">
        <f t="shared" si="3"/>
        <v>4</v>
      </c>
      <c r="D7" s="92">
        <v>42826</v>
      </c>
      <c r="E7" s="93">
        <v>321012.06</v>
      </c>
      <c r="F7" s="93">
        <v>38752131.820000008</v>
      </c>
      <c r="G7" s="93">
        <v>780594461.40999913</v>
      </c>
      <c r="H7" s="93">
        <v>634312489.26999998</v>
      </c>
      <c r="I7" s="93">
        <v>1937218.57</v>
      </c>
      <c r="J7" s="93">
        <v>4917574.6500000022</v>
      </c>
      <c r="K7" s="93">
        <v>935835128.63000035</v>
      </c>
      <c r="L7" s="93">
        <v>66958921.990000017</v>
      </c>
      <c r="M7" s="93">
        <v>37530277.219999999</v>
      </c>
      <c r="N7" s="93">
        <v>342046148.62999994</v>
      </c>
      <c r="O7" s="93">
        <v>258497.77999999994</v>
      </c>
      <c r="P7" s="93">
        <v>3467.17</v>
      </c>
      <c r="Q7" s="93">
        <v>6239396.8900000006</v>
      </c>
      <c r="R7" s="93">
        <v>4209720.03</v>
      </c>
      <c r="S7" s="93">
        <v>480682.27</v>
      </c>
      <c r="T7" s="93">
        <v>122367.88</v>
      </c>
      <c r="U7" s="93">
        <v>92646.590000000011</v>
      </c>
      <c r="V7" s="93">
        <v>245191.91</v>
      </c>
      <c r="W7" s="93">
        <v>1514273.09</v>
      </c>
      <c r="X7" s="94">
        <f t="shared" si="0"/>
        <v>2856371607.8600001</v>
      </c>
    </row>
    <row r="8" spans="1:24" x14ac:dyDescent="0.2">
      <c r="A8" s="1" t="str">
        <f t="shared" si="1"/>
        <v>20175</v>
      </c>
      <c r="B8" s="1">
        <f t="shared" si="2"/>
        <v>2017</v>
      </c>
      <c r="C8" s="1">
        <f t="shared" si="3"/>
        <v>5</v>
      </c>
      <c r="D8" s="92">
        <v>42856</v>
      </c>
      <c r="E8" s="93">
        <v>578229.97000000009</v>
      </c>
      <c r="F8" s="93">
        <v>48624662.5</v>
      </c>
      <c r="G8" s="93">
        <v>603671532.44000041</v>
      </c>
      <c r="H8" s="93">
        <v>494710702.78000009</v>
      </c>
      <c r="I8" s="93">
        <v>1384983.6500000001</v>
      </c>
      <c r="J8" s="93">
        <v>3788503.9999999995</v>
      </c>
      <c r="K8" s="93">
        <v>882181278.67999995</v>
      </c>
      <c r="L8" s="93">
        <v>62501345.419999994</v>
      </c>
      <c r="M8" s="93">
        <v>35511236.109999992</v>
      </c>
      <c r="N8" s="93">
        <v>363661941.34000003</v>
      </c>
      <c r="O8" s="93">
        <v>193589.54</v>
      </c>
      <c r="P8" s="93">
        <v>14894.18</v>
      </c>
      <c r="Q8" s="93">
        <v>2924184.23</v>
      </c>
      <c r="R8" s="93">
        <v>3683718.1</v>
      </c>
      <c r="S8" s="93">
        <v>438055.78</v>
      </c>
      <c r="T8" s="93">
        <v>102982.03000000001</v>
      </c>
      <c r="U8" s="93">
        <v>75416.200000000012</v>
      </c>
      <c r="V8" s="93">
        <v>355785.75</v>
      </c>
      <c r="W8" s="93">
        <v>1572919.66</v>
      </c>
      <c r="X8" s="94">
        <f t="shared" si="0"/>
        <v>2505975962.3600001</v>
      </c>
    </row>
    <row r="9" spans="1:24" x14ac:dyDescent="0.2">
      <c r="A9" s="1" t="str">
        <f t="shared" si="1"/>
        <v>20176</v>
      </c>
      <c r="B9" s="1">
        <f t="shared" si="2"/>
        <v>2017</v>
      </c>
      <c r="C9" s="1">
        <f t="shared" si="3"/>
        <v>6</v>
      </c>
      <c r="D9" s="92">
        <v>42887</v>
      </c>
      <c r="E9" s="93">
        <v>590312.41000000015</v>
      </c>
      <c r="F9" s="93">
        <v>41188032.640000001</v>
      </c>
      <c r="G9" s="93">
        <v>663993880.29000092</v>
      </c>
      <c r="H9" s="93">
        <v>420107664.80999994</v>
      </c>
      <c r="I9" s="93">
        <v>1629723.6700000002</v>
      </c>
      <c r="J9" s="93">
        <v>4229243.9600000009</v>
      </c>
      <c r="K9" s="93">
        <v>905099916.97000074</v>
      </c>
      <c r="L9" s="93">
        <v>73954125.310000002</v>
      </c>
      <c r="M9" s="93">
        <v>34048981.619999997</v>
      </c>
      <c r="N9" s="93">
        <v>364824055.83000004</v>
      </c>
      <c r="O9" s="93">
        <v>211201.31</v>
      </c>
      <c r="P9" s="93">
        <v>26081.780000000002</v>
      </c>
      <c r="Q9" s="93">
        <v>4047405.38</v>
      </c>
      <c r="R9" s="93">
        <v>3621190.0700000003</v>
      </c>
      <c r="S9" s="93">
        <v>301394.56</v>
      </c>
      <c r="T9" s="93">
        <v>131187.28</v>
      </c>
      <c r="U9" s="93">
        <v>92916.53</v>
      </c>
      <c r="V9" s="93">
        <v>233645.84</v>
      </c>
      <c r="W9" s="93">
        <v>1107930.8699999999</v>
      </c>
      <c r="X9" s="94">
        <f t="shared" si="0"/>
        <v>2519438891.1300025</v>
      </c>
    </row>
    <row r="10" spans="1:24" x14ac:dyDescent="0.2">
      <c r="A10" s="1" t="str">
        <f t="shared" si="1"/>
        <v>20177</v>
      </c>
      <c r="B10" s="1">
        <f t="shared" si="2"/>
        <v>2017</v>
      </c>
      <c r="C10" s="1">
        <f t="shared" si="3"/>
        <v>7</v>
      </c>
      <c r="D10" s="92">
        <v>42917</v>
      </c>
      <c r="E10" s="93">
        <v>796539.10999999987</v>
      </c>
      <c r="F10" s="93">
        <v>48730336.840000004</v>
      </c>
      <c r="G10" s="93">
        <v>752662526.83999956</v>
      </c>
      <c r="H10" s="93">
        <v>393161952.69000006</v>
      </c>
      <c r="I10" s="93">
        <v>1391052.25</v>
      </c>
      <c r="J10" s="93">
        <v>4061163.0299999984</v>
      </c>
      <c r="K10" s="93">
        <v>864320854.06999969</v>
      </c>
      <c r="L10" s="93">
        <v>70458010.640000015</v>
      </c>
      <c r="M10" s="93">
        <v>33626342.969999991</v>
      </c>
      <c r="N10" s="93">
        <v>308594474.15999997</v>
      </c>
      <c r="O10" s="93">
        <v>197105.96</v>
      </c>
      <c r="P10" s="93">
        <v>9791.0999999999985</v>
      </c>
      <c r="Q10" s="93">
        <v>5332161.4999999991</v>
      </c>
      <c r="R10" s="93">
        <v>3193058.54</v>
      </c>
      <c r="S10" s="93">
        <v>334059.81</v>
      </c>
      <c r="T10" s="93">
        <v>85472.14</v>
      </c>
      <c r="U10" s="93">
        <v>79755.189999999988</v>
      </c>
      <c r="V10" s="93">
        <v>348240.11</v>
      </c>
      <c r="W10" s="93">
        <v>1219898.4799999997</v>
      </c>
      <c r="X10" s="94">
        <f t="shared" si="0"/>
        <v>2488602795.4299989</v>
      </c>
    </row>
    <row r="11" spans="1:24" x14ac:dyDescent="0.2">
      <c r="A11" s="1" t="str">
        <f t="shared" si="1"/>
        <v>20178</v>
      </c>
      <c r="B11" s="1">
        <f t="shared" si="2"/>
        <v>2017</v>
      </c>
      <c r="C11" s="1">
        <f t="shared" si="3"/>
        <v>8</v>
      </c>
      <c r="D11" s="92">
        <v>42948</v>
      </c>
      <c r="E11" s="93">
        <v>818316.54999999981</v>
      </c>
      <c r="F11" s="93">
        <v>46924892.039999999</v>
      </c>
      <c r="G11" s="93">
        <v>768264953.24999881</v>
      </c>
      <c r="H11" s="93">
        <v>334681548.79000002</v>
      </c>
      <c r="I11" s="93">
        <v>1402261.12</v>
      </c>
      <c r="J11" s="93">
        <v>4017872.2299999995</v>
      </c>
      <c r="K11" s="93">
        <v>932698041.21999967</v>
      </c>
      <c r="L11" s="93">
        <v>72800048.219999999</v>
      </c>
      <c r="M11" s="93">
        <v>35060672.340000004</v>
      </c>
      <c r="N11" s="93">
        <v>311338482.77999997</v>
      </c>
      <c r="O11" s="93">
        <v>199055.44000000003</v>
      </c>
      <c r="P11" s="93">
        <v>11882.789999999999</v>
      </c>
      <c r="Q11" s="93">
        <v>6876811.8099999987</v>
      </c>
      <c r="R11" s="93">
        <v>4282051.51</v>
      </c>
      <c r="S11" s="93">
        <v>534529.84</v>
      </c>
      <c r="T11" s="93">
        <v>133930.32999999999</v>
      </c>
      <c r="U11" s="93">
        <v>73677.599999999991</v>
      </c>
      <c r="V11" s="93">
        <v>519479.01</v>
      </c>
      <c r="W11" s="93">
        <v>1486655.8599999999</v>
      </c>
      <c r="X11" s="94">
        <f t="shared" si="0"/>
        <v>2522125162.7299986</v>
      </c>
    </row>
    <row r="12" spans="1:24" x14ac:dyDescent="0.2">
      <c r="A12" s="1" t="str">
        <f t="shared" si="1"/>
        <v>20179</v>
      </c>
      <c r="B12" s="1">
        <f t="shared" si="2"/>
        <v>2017</v>
      </c>
      <c r="C12" s="1">
        <f t="shared" si="3"/>
        <v>9</v>
      </c>
      <c r="D12" s="92">
        <v>42979</v>
      </c>
      <c r="E12" s="93">
        <v>378773.85</v>
      </c>
      <c r="F12" s="93">
        <v>122098356.65000001</v>
      </c>
      <c r="G12" s="93">
        <v>723734432.14999986</v>
      </c>
      <c r="H12" s="93">
        <v>438590718.38999993</v>
      </c>
      <c r="I12" s="93">
        <v>1517635.3000000003</v>
      </c>
      <c r="J12" s="93">
        <v>3705183.5599999991</v>
      </c>
      <c r="K12" s="93">
        <v>928525811.13999975</v>
      </c>
      <c r="L12" s="93">
        <v>73258223.679999977</v>
      </c>
      <c r="M12" s="93">
        <v>35637239.839999989</v>
      </c>
      <c r="N12" s="93">
        <v>336025728.06000006</v>
      </c>
      <c r="O12" s="93">
        <v>181122.90999999997</v>
      </c>
      <c r="P12" s="93">
        <v>9188.59</v>
      </c>
      <c r="Q12" s="93">
        <v>3950869.5500000012</v>
      </c>
      <c r="R12" s="93">
        <v>4408646.24</v>
      </c>
      <c r="S12" s="93">
        <v>426226.47</v>
      </c>
      <c r="T12" s="93">
        <v>146465.37</v>
      </c>
      <c r="U12" s="93">
        <v>104180.42</v>
      </c>
      <c r="V12" s="93">
        <v>341477.64</v>
      </c>
      <c r="W12" s="93">
        <v>1260352.5500000005</v>
      </c>
      <c r="X12" s="94">
        <f t="shared" si="0"/>
        <v>2674300632.3599992</v>
      </c>
    </row>
    <row r="13" spans="1:24" x14ac:dyDescent="0.2">
      <c r="A13" s="1" t="str">
        <f t="shared" si="1"/>
        <v>201710</v>
      </c>
      <c r="B13" s="1">
        <f t="shared" si="2"/>
        <v>2017</v>
      </c>
      <c r="C13" s="1">
        <f t="shared" si="3"/>
        <v>10</v>
      </c>
      <c r="D13" s="92">
        <v>43009</v>
      </c>
      <c r="E13" s="93">
        <v>263049.84000000008</v>
      </c>
      <c r="F13" s="93">
        <v>35439383.100000001</v>
      </c>
      <c r="G13" s="93">
        <v>741197343.9199996</v>
      </c>
      <c r="H13" s="93">
        <v>448730845.50000012</v>
      </c>
      <c r="I13" s="93">
        <v>1570713.5100000005</v>
      </c>
      <c r="J13" s="93">
        <v>3611207.5699999994</v>
      </c>
      <c r="K13" s="93">
        <v>915309828.60000002</v>
      </c>
      <c r="L13" s="93">
        <v>74130832.069999993</v>
      </c>
      <c r="M13" s="93">
        <v>35597355.260000005</v>
      </c>
      <c r="N13" s="93">
        <v>351956192.15000004</v>
      </c>
      <c r="O13" s="93">
        <v>218635.02</v>
      </c>
      <c r="P13" s="93">
        <v>4797.37</v>
      </c>
      <c r="Q13" s="93">
        <v>3876732.6700000004</v>
      </c>
      <c r="R13" s="93">
        <v>3863439.1799999997</v>
      </c>
      <c r="S13" s="93">
        <v>523019.97999999992</v>
      </c>
      <c r="T13" s="93">
        <v>109322.9</v>
      </c>
      <c r="U13" s="93">
        <v>58529.280000000006</v>
      </c>
      <c r="V13" s="93">
        <v>308919.62</v>
      </c>
      <c r="W13" s="93">
        <v>1098143.9400000002</v>
      </c>
      <c r="X13" s="94">
        <f t="shared" si="0"/>
        <v>2617868291.48</v>
      </c>
    </row>
    <row r="14" spans="1:24" x14ac:dyDescent="0.2">
      <c r="A14" s="1" t="str">
        <f t="shared" si="1"/>
        <v>201711</v>
      </c>
      <c r="B14" s="1">
        <f t="shared" si="2"/>
        <v>2017</v>
      </c>
      <c r="C14" s="1">
        <f t="shared" si="3"/>
        <v>11</v>
      </c>
      <c r="D14" s="92">
        <v>43040</v>
      </c>
      <c r="E14" s="93">
        <v>363014.41000000003</v>
      </c>
      <c r="F14" s="93">
        <v>96894580.810000002</v>
      </c>
      <c r="G14" s="93">
        <v>670583813.37</v>
      </c>
      <c r="H14" s="93">
        <v>546651812.87</v>
      </c>
      <c r="I14" s="93">
        <v>1708533.0600000003</v>
      </c>
      <c r="J14" s="93">
        <v>3937922.2400000007</v>
      </c>
      <c r="K14" s="93">
        <v>985256938.24000025</v>
      </c>
      <c r="L14" s="93">
        <v>78251251.400000006</v>
      </c>
      <c r="M14" s="93">
        <v>34133682.610000007</v>
      </c>
      <c r="N14" s="93">
        <v>355651332.25999993</v>
      </c>
      <c r="O14" s="93">
        <v>190005.91</v>
      </c>
      <c r="P14" s="93">
        <v>3504.34</v>
      </c>
      <c r="Q14" s="93">
        <v>5052023.1999999993</v>
      </c>
      <c r="R14" s="93">
        <v>4354314.71</v>
      </c>
      <c r="S14" s="93">
        <v>4756.28</v>
      </c>
      <c r="T14" s="93">
        <v>161412.15</v>
      </c>
      <c r="U14" s="93">
        <v>98706.909999999974</v>
      </c>
      <c r="V14" s="93">
        <v>556889.36</v>
      </c>
      <c r="W14" s="93">
        <v>1581689.6399999997</v>
      </c>
      <c r="X14" s="94">
        <f t="shared" si="0"/>
        <v>2785436183.77</v>
      </c>
    </row>
    <row r="15" spans="1:24" x14ac:dyDescent="0.2">
      <c r="A15" s="1" t="str">
        <f t="shared" si="1"/>
        <v>201712</v>
      </c>
      <c r="B15" s="1">
        <f t="shared" si="2"/>
        <v>2017</v>
      </c>
      <c r="C15" s="1">
        <f t="shared" si="3"/>
        <v>12</v>
      </c>
      <c r="D15" s="92">
        <v>43070</v>
      </c>
      <c r="E15" s="93">
        <v>372874.81999999995</v>
      </c>
      <c r="F15" s="93">
        <v>138725349.55000001</v>
      </c>
      <c r="G15" s="93">
        <v>792520838.64000022</v>
      </c>
      <c r="H15" s="93">
        <v>594949248.56999993</v>
      </c>
      <c r="I15" s="93">
        <v>1528763.4899999998</v>
      </c>
      <c r="J15" s="93">
        <v>3837582.35</v>
      </c>
      <c r="K15" s="93">
        <v>1012851261.3699998</v>
      </c>
      <c r="L15" s="93">
        <v>72187261.219999999</v>
      </c>
      <c r="M15" s="93">
        <v>36289564.229999997</v>
      </c>
      <c r="N15" s="93">
        <v>426534447.34000009</v>
      </c>
      <c r="O15" s="93">
        <v>202366.56</v>
      </c>
      <c r="P15" s="93">
        <v>6447.25</v>
      </c>
      <c r="Q15" s="93">
        <v>3400891.5000000009</v>
      </c>
      <c r="R15" s="93">
        <v>5633952.7299999995</v>
      </c>
      <c r="S15" s="93">
        <v>305114.53999999998</v>
      </c>
      <c r="T15" s="93">
        <v>130690.64</v>
      </c>
      <c r="U15" s="93">
        <v>63381.73000000001</v>
      </c>
      <c r="V15" s="93">
        <v>315172.11000000004</v>
      </c>
      <c r="W15" s="93">
        <v>2729994.11</v>
      </c>
      <c r="X15" s="94">
        <f t="shared" si="0"/>
        <v>3092585202.75</v>
      </c>
    </row>
    <row r="16" spans="1:24" x14ac:dyDescent="0.2">
      <c r="A16" s="1" t="str">
        <f t="shared" si="1"/>
        <v>20181</v>
      </c>
      <c r="B16" s="1">
        <f t="shared" si="2"/>
        <v>2018</v>
      </c>
      <c r="C16" s="1">
        <f t="shared" si="3"/>
        <v>1</v>
      </c>
      <c r="D16" s="92">
        <v>43101</v>
      </c>
      <c r="E16" s="95">
        <v>1176176.73</v>
      </c>
      <c r="F16" s="95">
        <v>49921864.579999998</v>
      </c>
      <c r="G16" s="95">
        <v>799581084.05000019</v>
      </c>
      <c r="H16" s="95">
        <v>527091971.75999999</v>
      </c>
      <c r="I16" s="95">
        <v>1668960.32</v>
      </c>
      <c r="J16" s="95">
        <v>3135366.22</v>
      </c>
      <c r="K16" s="95">
        <v>1188087294.349999</v>
      </c>
      <c r="L16" s="95">
        <v>77245646.23999998</v>
      </c>
      <c r="M16" s="95">
        <v>41588948.829999998</v>
      </c>
      <c r="N16" s="95">
        <v>303275920.94999993</v>
      </c>
      <c r="O16" s="95">
        <v>227463.45999999996</v>
      </c>
      <c r="P16" s="95">
        <v>10551.94</v>
      </c>
      <c r="Q16" s="95">
        <v>4999227.08</v>
      </c>
      <c r="R16" s="95">
        <v>5902744.4400000013</v>
      </c>
      <c r="S16" s="95">
        <v>157288.79</v>
      </c>
      <c r="T16" s="95">
        <v>149819.82</v>
      </c>
      <c r="U16" s="95">
        <v>24649.47</v>
      </c>
      <c r="V16" s="95">
        <v>389030.25000000006</v>
      </c>
      <c r="W16" s="95">
        <v>1269438.5999999996</v>
      </c>
      <c r="X16" s="96">
        <f t="shared" si="0"/>
        <v>3005903447.8799987</v>
      </c>
    </row>
    <row r="17" spans="1:24" x14ac:dyDescent="0.2">
      <c r="A17" s="1" t="str">
        <f t="shared" si="1"/>
        <v>20182</v>
      </c>
      <c r="B17" s="1">
        <f t="shared" si="2"/>
        <v>2018</v>
      </c>
      <c r="C17" s="1">
        <f t="shared" si="3"/>
        <v>2</v>
      </c>
      <c r="D17" s="92">
        <v>43132</v>
      </c>
      <c r="E17" s="95">
        <v>641089.23</v>
      </c>
      <c r="F17" s="95">
        <v>249244084.20999995</v>
      </c>
      <c r="G17" s="95">
        <v>708017709.06999981</v>
      </c>
      <c r="H17" s="95">
        <v>536207055.90000004</v>
      </c>
      <c r="I17" s="95">
        <v>2033350.6699999997</v>
      </c>
      <c r="J17" s="95">
        <v>2526648.9899999988</v>
      </c>
      <c r="K17" s="95">
        <v>938459074.32000017</v>
      </c>
      <c r="L17" s="95">
        <v>75396158.950000003</v>
      </c>
      <c r="M17" s="95">
        <v>38389588.510000005</v>
      </c>
      <c r="N17" s="95">
        <v>302138714.56999987</v>
      </c>
      <c r="O17" s="95">
        <v>230825.77999999997</v>
      </c>
      <c r="P17" s="95">
        <v>6032.8099999999995</v>
      </c>
      <c r="Q17" s="95">
        <v>4258646.6499999994</v>
      </c>
      <c r="R17" s="95">
        <v>3496308.8299999991</v>
      </c>
      <c r="S17" s="95">
        <v>4895.3</v>
      </c>
      <c r="T17" s="95">
        <v>277640.34000000003</v>
      </c>
      <c r="U17" s="95">
        <v>18484.769999999997</v>
      </c>
      <c r="V17" s="95">
        <v>516669.68999999994</v>
      </c>
      <c r="W17" s="95">
        <v>1416968.3</v>
      </c>
      <c r="X17" s="96">
        <f t="shared" si="0"/>
        <v>2863279946.8900008</v>
      </c>
    </row>
    <row r="18" spans="1:24" x14ac:dyDescent="0.2">
      <c r="A18" s="1" t="str">
        <f t="shared" si="1"/>
        <v>20183</v>
      </c>
      <c r="B18" s="1">
        <f t="shared" si="2"/>
        <v>2018</v>
      </c>
      <c r="C18" s="1">
        <f t="shared" si="3"/>
        <v>3</v>
      </c>
      <c r="D18" s="92">
        <v>43160</v>
      </c>
      <c r="E18" s="95">
        <v>272960.81000000006</v>
      </c>
      <c r="F18" s="95">
        <v>42208018.160000011</v>
      </c>
      <c r="G18" s="95">
        <v>747010801.0000006</v>
      </c>
      <c r="H18" s="95">
        <v>541048760.10000002</v>
      </c>
      <c r="I18" s="95">
        <v>1787952.86</v>
      </c>
      <c r="J18" s="95">
        <v>2224650.600000001</v>
      </c>
      <c r="K18" s="95">
        <v>932852977.6400001</v>
      </c>
      <c r="L18" s="95">
        <v>67297093.120000005</v>
      </c>
      <c r="M18" s="95">
        <v>32822731.490000002</v>
      </c>
      <c r="N18" s="95">
        <v>302272705.58999991</v>
      </c>
      <c r="O18" s="95">
        <v>250743.05000000005</v>
      </c>
      <c r="P18" s="95">
        <v>26758.670000000002</v>
      </c>
      <c r="Q18" s="95">
        <v>4889966.22</v>
      </c>
      <c r="R18" s="95">
        <v>4204125.5200000005</v>
      </c>
      <c r="S18" s="95">
        <v>7877.6</v>
      </c>
      <c r="T18" s="95">
        <v>204672.71000000002</v>
      </c>
      <c r="U18" s="95">
        <v>25571.480000000003</v>
      </c>
      <c r="V18" s="95">
        <v>273542.32</v>
      </c>
      <c r="W18" s="95">
        <v>1493366.3</v>
      </c>
      <c r="X18" s="96">
        <f t="shared" si="0"/>
        <v>2681175275.2400002</v>
      </c>
    </row>
    <row r="19" spans="1:24" x14ac:dyDescent="0.2">
      <c r="A19" s="1" t="str">
        <f t="shared" si="1"/>
        <v>20184</v>
      </c>
      <c r="B19" s="1">
        <f t="shared" si="2"/>
        <v>2018</v>
      </c>
      <c r="C19" s="1">
        <f t="shared" si="3"/>
        <v>4</v>
      </c>
      <c r="D19" s="92">
        <v>43191</v>
      </c>
      <c r="E19" s="95">
        <v>363755.58999999991</v>
      </c>
      <c r="F19" s="95">
        <v>53450090.780000001</v>
      </c>
      <c r="G19" s="95">
        <v>745012751.10000074</v>
      </c>
      <c r="H19" s="95">
        <v>562534877.84000003</v>
      </c>
      <c r="I19" s="95">
        <v>1892167.3699999996</v>
      </c>
      <c r="J19" s="95">
        <v>3616110.0199999996</v>
      </c>
      <c r="K19" s="95">
        <v>942926331.23999989</v>
      </c>
      <c r="L19" s="95">
        <v>79355044.179999977</v>
      </c>
      <c r="M19" s="95">
        <v>36106302.039999999</v>
      </c>
      <c r="N19" s="95">
        <v>309187027.31000012</v>
      </c>
      <c r="O19" s="95">
        <v>252163.28</v>
      </c>
      <c r="P19" s="95">
        <v>66568.460000000006</v>
      </c>
      <c r="Q19" s="95">
        <v>4751221.9799999995</v>
      </c>
      <c r="R19" s="95">
        <v>4282047.9899999993</v>
      </c>
      <c r="S19" s="95">
        <v>18482.869999999995</v>
      </c>
      <c r="T19" s="95">
        <v>163162.65</v>
      </c>
      <c r="U19" s="95">
        <v>31164.14</v>
      </c>
      <c r="V19" s="95">
        <v>315798.55999999994</v>
      </c>
      <c r="W19" s="95">
        <v>1253377.6299999997</v>
      </c>
      <c r="X19" s="96">
        <f t="shared" si="0"/>
        <v>2745578445.0300002</v>
      </c>
    </row>
    <row r="20" spans="1:24" x14ac:dyDescent="0.2">
      <c r="A20" s="1" t="str">
        <f t="shared" si="1"/>
        <v>20185</v>
      </c>
      <c r="B20" s="1">
        <f t="shared" si="2"/>
        <v>2018</v>
      </c>
      <c r="C20" s="1">
        <f t="shared" si="3"/>
        <v>5</v>
      </c>
      <c r="D20" s="92">
        <v>43221</v>
      </c>
      <c r="E20" s="95">
        <v>808268.83000000007</v>
      </c>
      <c r="F20" s="95">
        <v>116601398.08999997</v>
      </c>
      <c r="G20" s="95">
        <v>992991189.25000095</v>
      </c>
      <c r="H20" s="95">
        <v>597433634.25</v>
      </c>
      <c r="I20" s="95">
        <v>1825649.8899999997</v>
      </c>
      <c r="J20" s="95">
        <v>3677909.8299999996</v>
      </c>
      <c r="K20" s="95">
        <v>825197415.71999979</v>
      </c>
      <c r="L20" s="95">
        <v>78191995.150000051</v>
      </c>
      <c r="M20" s="95">
        <v>34378817.960000001</v>
      </c>
      <c r="N20" s="95">
        <v>295376602.74000007</v>
      </c>
      <c r="O20" s="95">
        <v>28730.859999999997</v>
      </c>
      <c r="P20" s="95">
        <v>29173.989999999998</v>
      </c>
      <c r="Q20" s="95">
        <v>3545074.9100000006</v>
      </c>
      <c r="R20" s="95">
        <v>4621840.2800000012</v>
      </c>
      <c r="S20" s="95">
        <v>8947.01</v>
      </c>
      <c r="T20" s="95">
        <v>204392.82</v>
      </c>
      <c r="U20" s="95">
        <v>50846.509999999995</v>
      </c>
      <c r="V20" s="95">
        <v>311799.41000000003</v>
      </c>
      <c r="W20" s="95">
        <v>1057600.5600000003</v>
      </c>
      <c r="X20" s="96">
        <f t="shared" si="0"/>
        <v>2956341288.0600014</v>
      </c>
    </row>
    <row r="21" spans="1:24" x14ac:dyDescent="0.2">
      <c r="A21" s="1" t="str">
        <f t="shared" si="1"/>
        <v>20186</v>
      </c>
      <c r="B21" s="1">
        <f t="shared" si="2"/>
        <v>2018</v>
      </c>
      <c r="C21" s="1">
        <f t="shared" si="3"/>
        <v>6</v>
      </c>
      <c r="D21" s="92">
        <v>43252</v>
      </c>
      <c r="E21" s="95">
        <v>622302.10000000021</v>
      </c>
      <c r="F21" s="95">
        <v>60708688.600000001</v>
      </c>
      <c r="G21" s="95">
        <v>830392556.32000005</v>
      </c>
      <c r="H21" s="95">
        <v>560207455.25</v>
      </c>
      <c r="I21" s="95">
        <v>1928165.5100000002</v>
      </c>
      <c r="J21" s="95">
        <v>4581267.5399999982</v>
      </c>
      <c r="K21" s="95">
        <v>846009604.74000001</v>
      </c>
      <c r="L21" s="95">
        <v>78305946.809999973</v>
      </c>
      <c r="M21" s="95">
        <v>33874413.340000004</v>
      </c>
      <c r="N21" s="95">
        <v>259287481.44</v>
      </c>
      <c r="O21" s="95">
        <v>29764.16</v>
      </c>
      <c r="P21" s="95">
        <v>52871.78</v>
      </c>
      <c r="Q21" s="95">
        <v>3983371.9699999997</v>
      </c>
      <c r="R21" s="95">
        <v>4468296.4799999995</v>
      </c>
      <c r="S21" s="95">
        <v>21701.07</v>
      </c>
      <c r="T21" s="95">
        <v>185095.62</v>
      </c>
      <c r="U21" s="95">
        <v>73392.94</v>
      </c>
      <c r="V21" s="95">
        <v>311743.86</v>
      </c>
      <c r="W21" s="95">
        <v>1057785.4300000002</v>
      </c>
      <c r="X21" s="96">
        <f t="shared" si="0"/>
        <v>2686101904.96</v>
      </c>
    </row>
    <row r="22" spans="1:24" x14ac:dyDescent="0.2">
      <c r="A22" s="1" t="str">
        <f t="shared" si="1"/>
        <v>20187</v>
      </c>
      <c r="B22" s="1">
        <f t="shared" si="2"/>
        <v>2018</v>
      </c>
      <c r="C22" s="1">
        <f t="shared" si="3"/>
        <v>7</v>
      </c>
      <c r="D22" s="92">
        <v>43282</v>
      </c>
      <c r="E22" s="95">
        <v>814188.2000000003</v>
      </c>
      <c r="F22" s="95">
        <v>488636750.26000005</v>
      </c>
      <c r="G22" s="95">
        <v>1031107516.3299999</v>
      </c>
      <c r="H22" s="95">
        <v>467768632.57000005</v>
      </c>
      <c r="I22" s="95">
        <v>2076263.5499999996</v>
      </c>
      <c r="J22" s="95">
        <v>3874552.4600000009</v>
      </c>
      <c r="K22" s="95">
        <v>960052523.79999995</v>
      </c>
      <c r="L22" s="95">
        <v>88718288.289999977</v>
      </c>
      <c r="M22" s="95">
        <v>35544211.490000002</v>
      </c>
      <c r="N22" s="95">
        <v>263021695.45999998</v>
      </c>
      <c r="O22" s="95">
        <v>33632.67</v>
      </c>
      <c r="P22" s="95">
        <v>25944.710000000003</v>
      </c>
      <c r="Q22" s="95">
        <v>3684417.4</v>
      </c>
      <c r="R22" s="95">
        <v>4748269.37</v>
      </c>
      <c r="S22" s="95">
        <v>83280.89</v>
      </c>
      <c r="T22" s="95">
        <v>239707.37</v>
      </c>
      <c r="U22" s="95">
        <v>35195.589999999997</v>
      </c>
      <c r="V22" s="95">
        <v>245660.24</v>
      </c>
      <c r="W22" s="95">
        <v>1312046.75</v>
      </c>
      <c r="X22" s="96">
        <f t="shared" si="0"/>
        <v>3352022777.3999996</v>
      </c>
    </row>
    <row r="23" spans="1:24" x14ac:dyDescent="0.2">
      <c r="A23" s="1" t="str">
        <f t="shared" si="1"/>
        <v>20188</v>
      </c>
      <c r="B23" s="1">
        <f t="shared" si="2"/>
        <v>2018</v>
      </c>
      <c r="C23" s="1">
        <f t="shared" si="3"/>
        <v>8</v>
      </c>
      <c r="D23" s="92">
        <v>43313</v>
      </c>
      <c r="E23" s="95">
        <v>1123184.4799999995</v>
      </c>
      <c r="F23" s="95">
        <v>342009526.51999998</v>
      </c>
      <c r="G23" s="95">
        <v>981152117.99000013</v>
      </c>
      <c r="H23" s="95">
        <v>570106054.29999995</v>
      </c>
      <c r="I23" s="95">
        <v>2639378.25</v>
      </c>
      <c r="J23" s="95">
        <v>3801633.0200000009</v>
      </c>
      <c r="K23" s="95">
        <v>875954299.54999983</v>
      </c>
      <c r="L23" s="95">
        <v>94735240.839999974</v>
      </c>
      <c r="M23" s="95">
        <v>37085690.420000002</v>
      </c>
      <c r="N23" s="95">
        <v>262298492.54999998</v>
      </c>
      <c r="O23" s="95">
        <v>14710.66</v>
      </c>
      <c r="P23" s="95">
        <v>17793.29</v>
      </c>
      <c r="Q23" s="95">
        <v>4748165.1400000006</v>
      </c>
      <c r="R23" s="95">
        <v>4224712.09</v>
      </c>
      <c r="S23" s="95">
        <v>15968.49</v>
      </c>
      <c r="T23" s="95">
        <v>176592.83000000002</v>
      </c>
      <c r="U23" s="95">
        <v>55644.13</v>
      </c>
      <c r="V23" s="95">
        <v>390742.58</v>
      </c>
      <c r="W23" s="95">
        <v>1690071.8</v>
      </c>
      <c r="X23" s="96">
        <v>3182240018.9300003</v>
      </c>
    </row>
    <row r="24" spans="1:24" x14ac:dyDescent="0.2">
      <c r="A24" s="1" t="str">
        <f t="shared" si="1"/>
        <v>20189</v>
      </c>
      <c r="B24" s="1">
        <f t="shared" si="2"/>
        <v>2018</v>
      </c>
      <c r="C24" s="1">
        <f t="shared" si="3"/>
        <v>9</v>
      </c>
      <c r="D24" s="92">
        <v>43344</v>
      </c>
      <c r="E24" s="95">
        <v>781943.03</v>
      </c>
      <c r="F24" s="95">
        <v>70551139.089999989</v>
      </c>
      <c r="G24" s="95">
        <v>759140713.38000023</v>
      </c>
      <c r="H24" s="95">
        <v>671522268.95000005</v>
      </c>
      <c r="I24" s="95">
        <v>1892170.12</v>
      </c>
      <c r="J24" s="95">
        <v>3015718.72</v>
      </c>
      <c r="K24" s="95">
        <v>909566433.60000002</v>
      </c>
      <c r="L24" s="95">
        <v>103121044.90000002</v>
      </c>
      <c r="M24" s="95">
        <v>38006332.669999994</v>
      </c>
      <c r="N24" s="95">
        <v>278282324.13999999</v>
      </c>
      <c r="O24" s="95">
        <v>30015.069999999992</v>
      </c>
      <c r="P24" s="95">
        <v>23427.19</v>
      </c>
      <c r="Q24" s="95">
        <v>3343652.9900000012</v>
      </c>
      <c r="R24" s="95">
        <v>4637011.2600000007</v>
      </c>
      <c r="S24" s="95">
        <v>11394.51</v>
      </c>
      <c r="T24" s="95">
        <v>331947.41000000003</v>
      </c>
      <c r="U24" s="95">
        <v>39890.6</v>
      </c>
      <c r="V24" s="95">
        <v>322630.51999999996</v>
      </c>
      <c r="W24" s="95">
        <v>2037172.18</v>
      </c>
      <c r="X24" s="96">
        <f t="shared" ref="X24:X34" si="4">SUM(E24:W24)</f>
        <v>2846657230.3300004</v>
      </c>
    </row>
    <row r="25" spans="1:24" x14ac:dyDescent="0.2">
      <c r="A25" s="1" t="str">
        <f t="shared" si="1"/>
        <v>201810</v>
      </c>
      <c r="B25" s="1">
        <f t="shared" si="2"/>
        <v>2018</v>
      </c>
      <c r="C25" s="1">
        <f t="shared" si="3"/>
        <v>10</v>
      </c>
      <c r="D25" s="92">
        <v>43374</v>
      </c>
      <c r="E25" s="95">
        <v>787585.29000000015</v>
      </c>
      <c r="F25" s="95">
        <v>92219826.519999996</v>
      </c>
      <c r="G25" s="95">
        <v>685252498.11999965</v>
      </c>
      <c r="H25" s="95">
        <v>531838353.17999989</v>
      </c>
      <c r="I25" s="95">
        <v>2090874.6300000001</v>
      </c>
      <c r="J25" s="95">
        <v>3105748.060000001</v>
      </c>
      <c r="K25" s="95">
        <v>885040030.78000021</v>
      </c>
      <c r="L25" s="95">
        <v>94231817.429999948</v>
      </c>
      <c r="M25" s="95">
        <v>37284874.399999999</v>
      </c>
      <c r="N25" s="95">
        <v>298924237.88000005</v>
      </c>
      <c r="O25" s="95">
        <v>26360.39</v>
      </c>
      <c r="P25" s="95">
        <v>15968.32</v>
      </c>
      <c r="Q25" s="95">
        <v>4005304.3499999996</v>
      </c>
      <c r="R25" s="95">
        <v>4174908.7600000007</v>
      </c>
      <c r="S25" s="95">
        <v>9175.380000000001</v>
      </c>
      <c r="T25" s="95">
        <v>263973.19</v>
      </c>
      <c r="U25" s="95">
        <v>63713.390000000007</v>
      </c>
      <c r="V25" s="95">
        <v>350572.98000000004</v>
      </c>
      <c r="W25" s="95">
        <v>1754546.5499999998</v>
      </c>
      <c r="X25" s="96">
        <f t="shared" si="4"/>
        <v>2641440369.6000004</v>
      </c>
    </row>
    <row r="26" spans="1:24" x14ac:dyDescent="0.2">
      <c r="A26" s="1" t="str">
        <f t="shared" si="1"/>
        <v>201811</v>
      </c>
      <c r="B26" s="1">
        <f t="shared" si="2"/>
        <v>2018</v>
      </c>
      <c r="C26" s="1">
        <f t="shared" si="3"/>
        <v>11</v>
      </c>
      <c r="D26" s="92">
        <v>43405</v>
      </c>
      <c r="E26" s="95">
        <v>383925.5</v>
      </c>
      <c r="F26" s="95">
        <v>691324731.51999998</v>
      </c>
      <c r="G26" s="95">
        <v>957679020.25000012</v>
      </c>
      <c r="H26" s="95">
        <v>511464950.92000002</v>
      </c>
      <c r="I26" s="95">
        <v>5808362.2000000011</v>
      </c>
      <c r="J26" s="95">
        <v>8671233.9600000009</v>
      </c>
      <c r="K26" s="95">
        <v>988925065.70000005</v>
      </c>
      <c r="L26" s="95">
        <v>92832113.639999986</v>
      </c>
      <c r="M26" s="95">
        <v>38044764.559999995</v>
      </c>
      <c r="N26" s="95">
        <v>292744014.89999992</v>
      </c>
      <c r="O26" s="95">
        <v>51807.11</v>
      </c>
      <c r="P26" s="95">
        <v>9954.130000000001</v>
      </c>
      <c r="Q26" s="95">
        <v>5742443.8399999999</v>
      </c>
      <c r="R26" s="95">
        <v>5079912.7299999977</v>
      </c>
      <c r="S26" s="95">
        <v>5621.18</v>
      </c>
      <c r="T26" s="95">
        <v>183646.01</v>
      </c>
      <c r="U26" s="95">
        <v>77327.680000000008</v>
      </c>
      <c r="V26" s="95">
        <v>350749.63999999996</v>
      </c>
      <c r="W26" s="95">
        <v>1349060.4699999997</v>
      </c>
      <c r="X26" s="96">
        <f t="shared" si="4"/>
        <v>3600728705.9400001</v>
      </c>
    </row>
    <row r="27" spans="1:24" x14ac:dyDescent="0.2">
      <c r="A27" s="1" t="str">
        <f t="shared" si="1"/>
        <v>201812</v>
      </c>
      <c r="B27" s="1">
        <f t="shared" si="2"/>
        <v>2018</v>
      </c>
      <c r="C27" s="1">
        <f t="shared" si="3"/>
        <v>12</v>
      </c>
      <c r="D27" s="92">
        <v>43435</v>
      </c>
      <c r="E27" s="95">
        <v>836683.28000000026</v>
      </c>
      <c r="F27" s="95">
        <v>73060611.25999999</v>
      </c>
      <c r="G27" s="95">
        <v>886220952.75</v>
      </c>
      <c r="H27" s="95">
        <v>415953118.75</v>
      </c>
      <c r="I27" s="95">
        <v>2238551.29</v>
      </c>
      <c r="J27" s="95">
        <v>4373426.5600000015</v>
      </c>
      <c r="K27" s="95">
        <v>974092464.67999983</v>
      </c>
      <c r="L27" s="95">
        <v>90610145.350000039</v>
      </c>
      <c r="M27" s="95">
        <v>38091625.07</v>
      </c>
      <c r="N27" s="95">
        <v>258778673.40999997</v>
      </c>
      <c r="O27" s="95">
        <v>121471.31999999999</v>
      </c>
      <c r="P27" s="95">
        <v>12645.340000000002</v>
      </c>
      <c r="Q27" s="95">
        <v>3639349.3200000003</v>
      </c>
      <c r="R27" s="95">
        <v>4096046.5599999991</v>
      </c>
      <c r="S27" s="95">
        <v>10783.25</v>
      </c>
      <c r="T27" s="95">
        <v>157808.15000000002</v>
      </c>
      <c r="U27" s="95">
        <v>53878.28</v>
      </c>
      <c r="V27" s="95">
        <v>633256.18000000005</v>
      </c>
      <c r="W27" s="95">
        <v>2264908.7800000003</v>
      </c>
      <c r="X27" s="96">
        <f t="shared" si="4"/>
        <v>2755246399.5800004</v>
      </c>
    </row>
    <row r="28" spans="1:24" x14ac:dyDescent="0.2">
      <c r="A28" s="1" t="str">
        <f t="shared" si="1"/>
        <v>20191</v>
      </c>
      <c r="B28" s="1">
        <f t="shared" si="2"/>
        <v>2019</v>
      </c>
      <c r="C28" s="1">
        <f t="shared" si="3"/>
        <v>1</v>
      </c>
      <c r="D28" s="92">
        <v>43466</v>
      </c>
      <c r="E28" s="95">
        <v>567973.38</v>
      </c>
      <c r="F28" s="95">
        <v>281940222.20999992</v>
      </c>
      <c r="G28" s="95">
        <v>1108863331.0699995</v>
      </c>
      <c r="H28" s="95">
        <v>542715345.26999998</v>
      </c>
      <c r="I28" s="95">
        <v>2267912.4799999995</v>
      </c>
      <c r="J28" s="95">
        <v>4150164.21</v>
      </c>
      <c r="K28" s="95">
        <v>1090230250.26</v>
      </c>
      <c r="L28" s="95">
        <v>87102725.600000009</v>
      </c>
      <c r="M28" s="95">
        <v>41585221.100000001</v>
      </c>
      <c r="N28" s="95">
        <v>303152408.2700001</v>
      </c>
      <c r="O28" s="95">
        <v>100094.74</v>
      </c>
      <c r="P28" s="95">
        <v>28346.21</v>
      </c>
      <c r="Q28" s="95">
        <v>8882722.8099999987</v>
      </c>
      <c r="R28" s="95">
        <v>5710490.1400000006</v>
      </c>
      <c r="S28" s="95">
        <v>870541.70000000007</v>
      </c>
      <c r="T28" s="95">
        <v>273180.28000000003</v>
      </c>
      <c r="U28" s="95">
        <v>56730.01</v>
      </c>
      <c r="V28" s="95">
        <v>405833.51000000007</v>
      </c>
      <c r="W28" s="95">
        <v>1139923.17</v>
      </c>
      <c r="X28" s="96">
        <f t="shared" si="4"/>
        <v>3480043416.4199991</v>
      </c>
    </row>
    <row r="29" spans="1:24" x14ac:dyDescent="0.2">
      <c r="A29" s="1" t="str">
        <f t="shared" si="1"/>
        <v>20192</v>
      </c>
      <c r="B29" s="1">
        <f t="shared" si="2"/>
        <v>2019</v>
      </c>
      <c r="C29" s="1">
        <f t="shared" si="3"/>
        <v>2</v>
      </c>
      <c r="D29" s="92">
        <v>43497</v>
      </c>
      <c r="E29" s="95">
        <v>448658.47000000009</v>
      </c>
      <c r="F29" s="95">
        <v>60169765.410000011</v>
      </c>
      <c r="G29" s="95">
        <v>802813823.27000105</v>
      </c>
      <c r="H29" s="95">
        <v>830185210.2299999</v>
      </c>
      <c r="I29" s="95">
        <v>2104548.5099999998</v>
      </c>
      <c r="J29" s="95">
        <v>3151368.31</v>
      </c>
      <c r="K29" s="95">
        <v>946336530.20000017</v>
      </c>
      <c r="L29" s="95">
        <v>90147196.449999973</v>
      </c>
      <c r="M29" s="95">
        <v>40135560.020000003</v>
      </c>
      <c r="N29" s="95">
        <v>307740329.69999993</v>
      </c>
      <c r="O29" s="95">
        <v>62670.76</v>
      </c>
      <c r="P29" s="95">
        <v>20703.129999999997</v>
      </c>
      <c r="Q29" s="95">
        <v>5337893.8999999985</v>
      </c>
      <c r="R29" s="95">
        <v>5070546.5100000007</v>
      </c>
      <c r="S29" s="95">
        <v>4380.2700000000004</v>
      </c>
      <c r="T29" s="95">
        <v>285093.54000000004</v>
      </c>
      <c r="U29" s="95">
        <v>59302.39</v>
      </c>
      <c r="V29" s="95">
        <v>447152.74</v>
      </c>
      <c r="W29" s="95">
        <v>1473170.8499999996</v>
      </c>
      <c r="X29" s="95">
        <f t="shared" si="4"/>
        <v>3095993904.6600008</v>
      </c>
    </row>
    <row r="30" spans="1:24" x14ac:dyDescent="0.2">
      <c r="A30" s="1" t="str">
        <f t="shared" si="1"/>
        <v>20193</v>
      </c>
      <c r="B30" s="1">
        <f t="shared" si="2"/>
        <v>2019</v>
      </c>
      <c r="C30" s="1">
        <f t="shared" si="3"/>
        <v>3</v>
      </c>
      <c r="D30" s="92">
        <v>43525</v>
      </c>
      <c r="E30" s="95">
        <v>688891.52999999991</v>
      </c>
      <c r="F30" s="95">
        <v>51042570.050000004</v>
      </c>
      <c r="G30" s="95">
        <v>821500618.44000041</v>
      </c>
      <c r="H30" s="95">
        <v>481188287.54000002</v>
      </c>
      <c r="I30" s="95">
        <v>1961045.98</v>
      </c>
      <c r="J30" s="95">
        <v>4361999.5200000014</v>
      </c>
      <c r="K30" s="95">
        <v>902754224.79999995</v>
      </c>
      <c r="L30" s="95">
        <v>88841989.079999983</v>
      </c>
      <c r="M30" s="95">
        <v>35308296.839999996</v>
      </c>
      <c r="N30" s="95">
        <v>275064376.91999996</v>
      </c>
      <c r="O30" s="95">
        <v>64887.590000000004</v>
      </c>
      <c r="P30" s="95">
        <v>4096.9400000000005</v>
      </c>
      <c r="Q30" s="95">
        <v>4565102.4499999993</v>
      </c>
      <c r="R30" s="95">
        <v>4432464.7899999991</v>
      </c>
      <c r="S30" s="95">
        <v>6512.44</v>
      </c>
      <c r="T30" s="95">
        <v>330624.8</v>
      </c>
      <c r="U30" s="95">
        <v>101592.61</v>
      </c>
      <c r="V30" s="95">
        <v>340807.98000000004</v>
      </c>
      <c r="W30" s="95">
        <v>2090099.6700000006</v>
      </c>
      <c r="X30" s="95">
        <f t="shared" si="4"/>
        <v>2674648489.9700012</v>
      </c>
    </row>
    <row r="31" spans="1:24" x14ac:dyDescent="0.2">
      <c r="A31" s="1" t="str">
        <f t="shared" si="1"/>
        <v>20194</v>
      </c>
      <c r="B31" s="1">
        <f t="shared" si="2"/>
        <v>2019</v>
      </c>
      <c r="C31" s="1">
        <f t="shared" si="3"/>
        <v>4</v>
      </c>
      <c r="D31" s="92">
        <v>43556</v>
      </c>
      <c r="E31" s="95">
        <v>788823.85000000009</v>
      </c>
      <c r="F31" s="95">
        <v>57892946.589999981</v>
      </c>
      <c r="G31" s="95">
        <v>988409707.72999978</v>
      </c>
      <c r="H31" s="95">
        <v>682573344.94000006</v>
      </c>
      <c r="I31" s="95">
        <v>2291174.6100000003</v>
      </c>
      <c r="J31" s="95">
        <v>4694181.4300000006</v>
      </c>
      <c r="K31" s="95">
        <v>949944941.24999964</v>
      </c>
      <c r="L31" s="95">
        <v>95611607.340000004</v>
      </c>
      <c r="M31" s="95">
        <v>39256316.54999999</v>
      </c>
      <c r="N31" s="95">
        <v>265196661.80000001</v>
      </c>
      <c r="O31" s="95">
        <v>44399.22</v>
      </c>
      <c r="P31" s="95">
        <v>23685.09</v>
      </c>
      <c r="Q31" s="95">
        <v>4482113.7699999996</v>
      </c>
      <c r="R31" s="95">
        <v>4932894.83</v>
      </c>
      <c r="S31" s="95">
        <v>11745.93</v>
      </c>
      <c r="T31" s="95">
        <v>187571.97</v>
      </c>
      <c r="U31" s="95">
        <v>81022.660000000018</v>
      </c>
      <c r="V31" s="95">
        <v>490429.76</v>
      </c>
      <c r="W31" s="95">
        <v>1604730.4299999997</v>
      </c>
      <c r="X31" s="95">
        <f t="shared" si="4"/>
        <v>3098518299.749999</v>
      </c>
    </row>
    <row r="32" spans="1:24" x14ac:dyDescent="0.2">
      <c r="A32" s="1" t="str">
        <f t="shared" si="1"/>
        <v>20195</v>
      </c>
      <c r="B32" s="1">
        <f t="shared" si="2"/>
        <v>2019</v>
      </c>
      <c r="C32" s="1">
        <f t="shared" si="3"/>
        <v>5</v>
      </c>
      <c r="D32" s="92">
        <v>43586</v>
      </c>
      <c r="E32" s="95">
        <v>972561.8899999999</v>
      </c>
      <c r="F32" s="95">
        <v>124093295.36999999</v>
      </c>
      <c r="G32" s="95">
        <v>812514679.25000167</v>
      </c>
      <c r="H32" s="95">
        <v>572341502.1500001</v>
      </c>
      <c r="I32" s="95">
        <v>3019454.2600000002</v>
      </c>
      <c r="J32" s="95">
        <v>3547187.3000000003</v>
      </c>
      <c r="K32" s="95">
        <v>943024525.84999967</v>
      </c>
      <c r="L32" s="95">
        <v>89647833.179999962</v>
      </c>
      <c r="M32" s="95">
        <v>37561207.559999995</v>
      </c>
      <c r="N32" s="95">
        <v>261856691.04000002</v>
      </c>
      <c r="O32" s="95">
        <v>54595.719999999987</v>
      </c>
      <c r="P32" s="95">
        <v>6115.34</v>
      </c>
      <c r="Q32" s="95">
        <v>4404319.9899999984</v>
      </c>
      <c r="R32" s="95">
        <v>4439755.96</v>
      </c>
      <c r="S32" s="95">
        <v>2997</v>
      </c>
      <c r="T32" s="95">
        <v>207145.62999999998</v>
      </c>
      <c r="U32" s="95">
        <v>72208.69</v>
      </c>
      <c r="V32" s="95">
        <v>358509.21</v>
      </c>
      <c r="W32" s="95">
        <v>1334145.5399999991</v>
      </c>
      <c r="X32" s="95">
        <f t="shared" si="4"/>
        <v>2859458730.9300013</v>
      </c>
    </row>
    <row r="33" spans="1:24" x14ac:dyDescent="0.2">
      <c r="A33" s="1" t="str">
        <f t="shared" si="1"/>
        <v>20196</v>
      </c>
      <c r="B33" s="1">
        <f t="shared" si="2"/>
        <v>2019</v>
      </c>
      <c r="C33" s="1">
        <f t="shared" si="3"/>
        <v>6</v>
      </c>
      <c r="D33" s="92">
        <v>43617</v>
      </c>
      <c r="E33" s="95">
        <v>863106.71999999986</v>
      </c>
      <c r="F33" s="95">
        <v>53132122.259999998</v>
      </c>
      <c r="G33" s="95">
        <v>858051060.98000085</v>
      </c>
      <c r="H33" s="95">
        <v>411401043.84999996</v>
      </c>
      <c r="I33" s="95">
        <v>2836683.8699999996</v>
      </c>
      <c r="J33" s="95">
        <v>3752402.8300000015</v>
      </c>
      <c r="K33" s="95">
        <v>879021369.55000031</v>
      </c>
      <c r="L33" s="95">
        <v>91037362.300000027</v>
      </c>
      <c r="M33" s="95">
        <v>38031225.109999999</v>
      </c>
      <c r="N33" s="95">
        <v>252030016.14000002</v>
      </c>
      <c r="O33" s="95">
        <v>70076.87000000001</v>
      </c>
      <c r="P33" s="95">
        <v>7471.9</v>
      </c>
      <c r="Q33" s="95">
        <v>4058201.76</v>
      </c>
      <c r="R33" s="95">
        <v>5140073.22</v>
      </c>
      <c r="S33" s="95">
        <v>1597.18</v>
      </c>
      <c r="T33" s="95">
        <v>252050.88</v>
      </c>
      <c r="U33" s="95">
        <v>86012.930000000022</v>
      </c>
      <c r="V33" s="95">
        <v>366186.14</v>
      </c>
      <c r="W33" s="95">
        <v>1374490.4700000002</v>
      </c>
      <c r="X33" s="95">
        <f t="shared" si="4"/>
        <v>2601512554.9600005</v>
      </c>
    </row>
    <row r="34" spans="1:24" x14ac:dyDescent="0.2">
      <c r="A34" s="1" t="str">
        <f t="shared" si="1"/>
        <v>20197</v>
      </c>
      <c r="B34" s="1">
        <f t="shared" si="2"/>
        <v>2019</v>
      </c>
      <c r="C34" s="1">
        <f t="shared" si="3"/>
        <v>7</v>
      </c>
      <c r="D34" s="92">
        <v>43647</v>
      </c>
      <c r="E34" s="95">
        <v>804637.58000000007</v>
      </c>
      <c r="F34" s="95">
        <v>73723239.709999993</v>
      </c>
      <c r="G34" s="95">
        <v>727686646.00000048</v>
      </c>
      <c r="H34" s="95">
        <v>532939750.57999992</v>
      </c>
      <c r="I34" s="95">
        <v>2596481.29</v>
      </c>
      <c r="J34" s="95">
        <v>3978199.899999999</v>
      </c>
      <c r="K34" s="95">
        <v>891689763.46000028</v>
      </c>
      <c r="L34" s="95">
        <v>86975780.270000011</v>
      </c>
      <c r="M34" s="95">
        <v>36835597.590000004</v>
      </c>
      <c r="N34" s="95">
        <v>250324415.94</v>
      </c>
      <c r="O34" s="95">
        <v>73987.460000000021</v>
      </c>
      <c r="P34" s="95">
        <v>8332.86</v>
      </c>
      <c r="Q34" s="95">
        <v>5705237.0899999999</v>
      </c>
      <c r="R34" s="95">
        <v>4293739.72</v>
      </c>
      <c r="S34" s="95">
        <v>747.62</v>
      </c>
      <c r="T34" s="95">
        <v>177533.35000000003</v>
      </c>
      <c r="U34" s="95">
        <v>121672.09999999999</v>
      </c>
      <c r="V34" s="95">
        <v>359165.09</v>
      </c>
      <c r="W34" s="95">
        <v>1339888.77</v>
      </c>
      <c r="X34" s="95">
        <f t="shared" si="4"/>
        <v>2619634816.3800006</v>
      </c>
    </row>
    <row r="35" spans="1:24" x14ac:dyDescent="0.2">
      <c r="A35" s="1" t="str">
        <f t="shared" si="1"/>
        <v>20198</v>
      </c>
      <c r="B35" s="1">
        <f t="shared" si="2"/>
        <v>2019</v>
      </c>
      <c r="C35" s="1">
        <f t="shared" si="3"/>
        <v>8</v>
      </c>
      <c r="D35" s="92">
        <v>43678</v>
      </c>
      <c r="E35" s="95">
        <v>824313.67999999982</v>
      </c>
      <c r="F35" s="95">
        <v>121409005.42</v>
      </c>
      <c r="G35" s="95">
        <v>917213286.40000033</v>
      </c>
      <c r="H35" s="95">
        <v>382626822.21999991</v>
      </c>
      <c r="I35" s="95">
        <v>2502442.6999999997</v>
      </c>
      <c r="J35" s="95">
        <v>4909502.71</v>
      </c>
      <c r="K35" s="95">
        <v>955897810.63000023</v>
      </c>
      <c r="L35" s="95">
        <v>107220010.99000002</v>
      </c>
      <c r="M35" s="95">
        <v>37148702.700000003</v>
      </c>
      <c r="N35" s="95">
        <v>264540464.00000003</v>
      </c>
      <c r="O35" s="95">
        <v>43307.15</v>
      </c>
      <c r="P35" s="95">
        <v>4591.29</v>
      </c>
      <c r="Q35" s="95">
        <v>6291403.9699999969</v>
      </c>
      <c r="R35" s="95">
        <v>7287995.2099999972</v>
      </c>
      <c r="S35" s="95">
        <v>309262.67999999993</v>
      </c>
      <c r="T35" s="95">
        <v>207411.04</v>
      </c>
      <c r="U35" s="95">
        <v>99310.040000000008</v>
      </c>
      <c r="V35" s="95">
        <v>457476.5199999999</v>
      </c>
      <c r="W35" s="95">
        <v>1278539.4700000002</v>
      </c>
      <c r="X35" s="95">
        <f t="shared" ref="X35:X37" si="5">SUM(E35:W35)</f>
        <v>2810271658.8200002</v>
      </c>
    </row>
    <row r="36" spans="1:24" x14ac:dyDescent="0.2">
      <c r="A36" s="1" t="str">
        <f t="shared" si="1"/>
        <v>20199</v>
      </c>
      <c r="B36" s="1">
        <f t="shared" si="2"/>
        <v>2019</v>
      </c>
      <c r="C36" s="1">
        <f t="shared" si="3"/>
        <v>9</v>
      </c>
      <c r="D36" s="92">
        <v>43709</v>
      </c>
      <c r="E36" s="95">
        <v>350435.95999999996</v>
      </c>
      <c r="F36" s="95">
        <v>72785019.189999983</v>
      </c>
      <c r="G36" s="95">
        <v>913253729.25000024</v>
      </c>
      <c r="H36" s="95">
        <v>437347717.78999996</v>
      </c>
      <c r="I36" s="95">
        <v>2903961.25</v>
      </c>
      <c r="J36" s="95">
        <v>4294656.6799999988</v>
      </c>
      <c r="K36" s="95">
        <v>937484299.07999992</v>
      </c>
      <c r="L36" s="95">
        <v>322110493.4799999</v>
      </c>
      <c r="M36" s="95">
        <v>36614841.530000001</v>
      </c>
      <c r="N36" s="95">
        <v>248019060.72999999</v>
      </c>
      <c r="O36" s="95">
        <v>388779.75</v>
      </c>
      <c r="P36" s="95">
        <v>19538.38</v>
      </c>
      <c r="Q36" s="95">
        <v>5140960.5900000017</v>
      </c>
      <c r="R36" s="95">
        <v>4939660.47</v>
      </c>
      <c r="S36" s="95">
        <v>1519.4399999999998</v>
      </c>
      <c r="T36" s="95">
        <v>231075.83999999997</v>
      </c>
      <c r="U36" s="95">
        <v>83265.62999999999</v>
      </c>
      <c r="V36" s="95">
        <v>365514.69</v>
      </c>
      <c r="W36" s="95">
        <v>1463589.8100000003</v>
      </c>
      <c r="X36" s="95">
        <f t="shared" si="5"/>
        <v>2987798119.5400004</v>
      </c>
    </row>
    <row r="37" spans="1:24" x14ac:dyDescent="0.2">
      <c r="A37" s="1" t="str">
        <f t="shared" si="1"/>
        <v>201910</v>
      </c>
      <c r="B37" s="1">
        <f t="shared" si="2"/>
        <v>2019</v>
      </c>
      <c r="C37" s="1">
        <f t="shared" si="3"/>
        <v>10</v>
      </c>
      <c r="D37" s="92">
        <v>43739</v>
      </c>
      <c r="E37" s="95">
        <v>260808.40999999992</v>
      </c>
      <c r="F37" s="95">
        <v>86853425.050000012</v>
      </c>
      <c r="G37" s="95">
        <v>982106558.99000001</v>
      </c>
      <c r="H37" s="95">
        <v>608915623.09000003</v>
      </c>
      <c r="I37" s="95">
        <v>4680974.95</v>
      </c>
      <c r="J37" s="95">
        <v>5166772.1900000004</v>
      </c>
      <c r="K37" s="95">
        <v>887085586.31000066</v>
      </c>
      <c r="L37" s="95">
        <v>101349107.65000002</v>
      </c>
      <c r="M37" s="95">
        <v>36822732.799999997</v>
      </c>
      <c r="N37" s="95">
        <v>268997541.88999999</v>
      </c>
      <c r="O37" s="95">
        <v>80655.549999999974</v>
      </c>
      <c r="P37" s="95">
        <v>33817.15</v>
      </c>
      <c r="Q37" s="95">
        <v>11185710.199999999</v>
      </c>
      <c r="R37" s="95">
        <v>4453967.7299999986</v>
      </c>
      <c r="S37" s="95">
        <v>77660.310000000012</v>
      </c>
      <c r="T37" s="95">
        <v>180227.58999999997</v>
      </c>
      <c r="U37" s="95">
        <v>145145.18999999997</v>
      </c>
      <c r="V37" s="95">
        <v>650938.34000000008</v>
      </c>
      <c r="W37" s="95">
        <v>1516338.5499999996</v>
      </c>
      <c r="X37" s="95">
        <f t="shared" si="5"/>
        <v>3000563591.9400015</v>
      </c>
    </row>
    <row r="38" spans="1:24" x14ac:dyDescent="0.2">
      <c r="A38" s="1" t="str">
        <f t="shared" si="1"/>
        <v>201911</v>
      </c>
      <c r="B38" s="1">
        <f t="shared" si="2"/>
        <v>2019</v>
      </c>
      <c r="C38" s="1">
        <f t="shared" si="3"/>
        <v>11</v>
      </c>
      <c r="D38" s="92">
        <v>43770</v>
      </c>
      <c r="E38" s="163">
        <v>441361.66000000003</v>
      </c>
      <c r="F38" s="163">
        <v>67828095.950000003</v>
      </c>
      <c r="G38" s="163">
        <v>875622641.98999918</v>
      </c>
      <c r="H38" s="163">
        <v>579469288.84000015</v>
      </c>
      <c r="I38" s="163">
        <v>2557132.0499999998</v>
      </c>
      <c r="J38" s="163">
        <v>6238004.7799999984</v>
      </c>
      <c r="K38" s="163">
        <v>1023286860.1600001</v>
      </c>
      <c r="L38" s="163">
        <v>103610963.71000001</v>
      </c>
      <c r="M38" s="163">
        <v>38191890.179999992</v>
      </c>
      <c r="N38" s="163">
        <v>279672070.62</v>
      </c>
      <c r="O38" s="163">
        <v>339003.36999999994</v>
      </c>
      <c r="P38" s="163">
        <v>15222.9</v>
      </c>
      <c r="Q38" s="163">
        <v>7066910.3300000019</v>
      </c>
      <c r="R38" s="163">
        <v>6038410.7599999979</v>
      </c>
      <c r="S38" s="163">
        <v>582.66</v>
      </c>
      <c r="T38" s="163">
        <v>176485.08999999997</v>
      </c>
      <c r="U38" s="163">
        <v>116035.09000000004</v>
      </c>
      <c r="V38" s="163">
        <v>494903.85000000003</v>
      </c>
      <c r="W38" s="163">
        <v>1584563.4800000002</v>
      </c>
      <c r="X38" s="146">
        <f t="shared" ref="X38" si="6">SUM(E38:W38)</f>
        <v>2992750427.4699993</v>
      </c>
    </row>
    <row r="39" spans="1:24" x14ac:dyDescent="0.2">
      <c r="A39" s="1" t="str">
        <f t="shared" si="1"/>
        <v>201912</v>
      </c>
      <c r="B39" s="1">
        <f t="shared" si="2"/>
        <v>2019</v>
      </c>
      <c r="C39" s="1">
        <f t="shared" si="3"/>
        <v>12</v>
      </c>
      <c r="D39" s="97">
        <v>43800</v>
      </c>
      <c r="E39" s="163">
        <v>287223.93</v>
      </c>
      <c r="F39" s="163">
        <v>233175129.2700001</v>
      </c>
      <c r="G39" s="163">
        <v>966624588.20000029</v>
      </c>
      <c r="H39" s="163">
        <v>617879552.51999986</v>
      </c>
      <c r="I39" s="163">
        <v>2923410.3800000004</v>
      </c>
      <c r="J39" s="163">
        <v>4002905.1899999995</v>
      </c>
      <c r="K39" s="163">
        <v>1086570005.5700004</v>
      </c>
      <c r="L39" s="163">
        <v>94134017.430000022</v>
      </c>
      <c r="M39" s="163">
        <v>38203659.230000004</v>
      </c>
      <c r="N39" s="163">
        <v>269889082.86999995</v>
      </c>
      <c r="O39" s="163">
        <v>68549.709999999992</v>
      </c>
      <c r="P39" s="163">
        <v>30159.399999999998</v>
      </c>
      <c r="Q39" s="163">
        <v>8768120.9499999993</v>
      </c>
      <c r="R39" s="163">
        <v>5458173.9899999993</v>
      </c>
      <c r="S39" s="163">
        <v>615.34</v>
      </c>
      <c r="T39" s="163">
        <v>217380.25999999998</v>
      </c>
      <c r="U39" s="163">
        <v>91477.959999999992</v>
      </c>
      <c r="V39" s="163">
        <v>446819.59</v>
      </c>
      <c r="W39" s="163">
        <v>1526089.3499999999</v>
      </c>
      <c r="X39" s="146">
        <v>3330296961.1400003</v>
      </c>
    </row>
    <row r="40" spans="1:24" x14ac:dyDescent="0.2"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</row>
    <row r="41" spans="1:24" x14ac:dyDescent="0.2"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</row>
    <row r="42" spans="1:24" x14ac:dyDescent="0.2"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</row>
    <row r="43" spans="1:24" x14ac:dyDescent="0.2"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</row>
    <row r="44" spans="1:24" x14ac:dyDescent="0.2"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</row>
    <row r="45" spans="1:24" x14ac:dyDescent="0.2"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46"/>
    </row>
    <row r="46" spans="1:24" x14ac:dyDescent="0.2"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</row>
    <row r="47" spans="1:24" x14ac:dyDescent="0.2"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</row>
    <row r="48" spans="1:24" x14ac:dyDescent="0.2"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</row>
    <row r="49" spans="5:21" x14ac:dyDescent="0.2"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</row>
    <row r="50" spans="5:21" x14ac:dyDescent="0.2"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</row>
    <row r="51" spans="5:21" x14ac:dyDescent="0.2"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</row>
    <row r="52" spans="5:21" x14ac:dyDescent="0.2"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</row>
    <row r="53" spans="5:21" x14ac:dyDescent="0.2"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</row>
    <row r="54" spans="5:21" x14ac:dyDescent="0.2"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</row>
    <row r="55" spans="5:21" x14ac:dyDescent="0.2"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</row>
    <row r="56" spans="5:21" x14ac:dyDescent="0.2"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</row>
    <row r="57" spans="5:21" x14ac:dyDescent="0.2"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</row>
    <row r="58" spans="5:21" x14ac:dyDescent="0.2"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</row>
    <row r="59" spans="5:21" x14ac:dyDescent="0.2"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</row>
    <row r="60" spans="5:21" x14ac:dyDescent="0.2"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</row>
    <row r="61" spans="5:21" x14ac:dyDescent="0.2"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</row>
    <row r="62" spans="5:21" x14ac:dyDescent="0.2"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</row>
    <row r="63" spans="5:21" x14ac:dyDescent="0.2"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</row>
    <row r="64" spans="5:21" x14ac:dyDescent="0.2"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</row>
    <row r="65" spans="5:21" x14ac:dyDescent="0.2"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</row>
    <row r="66" spans="5:21" x14ac:dyDescent="0.2"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</row>
    <row r="67" spans="5:21" x14ac:dyDescent="0.2"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</row>
    <row r="68" spans="5:21" x14ac:dyDescent="0.2"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</row>
    <row r="69" spans="5:21" x14ac:dyDescent="0.2"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</row>
    <row r="70" spans="5:21" x14ac:dyDescent="0.2"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</row>
    <row r="71" spans="5:21" x14ac:dyDescent="0.2"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</row>
    <row r="72" spans="5:21" x14ac:dyDescent="0.2"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</row>
    <row r="73" spans="5:21" x14ac:dyDescent="0.2"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</row>
    <row r="74" spans="5:21" x14ac:dyDescent="0.2"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</row>
    <row r="75" spans="5:21" x14ac:dyDescent="0.2"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</row>
    <row r="76" spans="5:21" x14ac:dyDescent="0.2"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</row>
    <row r="77" spans="5:21" x14ac:dyDescent="0.2"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</row>
    <row r="78" spans="5:21" x14ac:dyDescent="0.2"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</row>
    <row r="79" spans="5:21" x14ac:dyDescent="0.2"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</row>
    <row r="80" spans="5:21" x14ac:dyDescent="0.2"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</row>
    <row r="81" spans="5:21" x14ac:dyDescent="0.2"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</row>
    <row r="82" spans="5:21" x14ac:dyDescent="0.2"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</row>
    <row r="83" spans="5:21" x14ac:dyDescent="0.2"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</row>
    <row r="84" spans="5:21" x14ac:dyDescent="0.2"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</row>
    <row r="85" spans="5:21" x14ac:dyDescent="0.2"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</row>
    <row r="86" spans="5:21" x14ac:dyDescent="0.2"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</row>
    <row r="87" spans="5:21" x14ac:dyDescent="0.2"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</row>
    <row r="88" spans="5:21" x14ac:dyDescent="0.2"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</row>
    <row r="89" spans="5:21" x14ac:dyDescent="0.2"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</row>
    <row r="90" spans="5:21" x14ac:dyDescent="0.2"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</row>
    <row r="91" spans="5:21" x14ac:dyDescent="0.2"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</row>
    <row r="92" spans="5:21" x14ac:dyDescent="0.2"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</row>
    <row r="93" spans="5:21" x14ac:dyDescent="0.2"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</row>
    <row r="94" spans="5:21" x14ac:dyDescent="0.2"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</row>
    <row r="95" spans="5:21" x14ac:dyDescent="0.2"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</row>
    <row r="96" spans="5:21" x14ac:dyDescent="0.2"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</row>
    <row r="97" spans="5:24" x14ac:dyDescent="0.2"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</row>
    <row r="98" spans="5:24" x14ac:dyDescent="0.2"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</row>
    <row r="99" spans="5:24" x14ac:dyDescent="0.2"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</row>
    <row r="100" spans="5:24" x14ac:dyDescent="0.2">
      <c r="E100" s="99">
        <v>-6.7742654118137011</v>
      </c>
      <c r="F100" s="99">
        <v>38.754554823235082</v>
      </c>
      <c r="G100" s="99">
        <v>-15.193083594711482</v>
      </c>
      <c r="H100" s="99">
        <v>29.542634503940121</v>
      </c>
      <c r="I100" s="99">
        <v>-8.4677246745863073</v>
      </c>
      <c r="J100" s="99">
        <v>6.0173995231742623</v>
      </c>
      <c r="K100" s="99">
        <v>1.4411929389709144</v>
      </c>
      <c r="L100" s="99">
        <v>-4.4614451994068958</v>
      </c>
      <c r="M100" s="99">
        <v>-3.1438049038436446</v>
      </c>
      <c r="N100" s="99">
        <v>-0.67674486798135547</v>
      </c>
      <c r="O100" s="99">
        <v>5.5804290345730578</v>
      </c>
      <c r="P100" s="99">
        <v>11.52263815093886</v>
      </c>
      <c r="Q100" s="99">
        <v>40.585348570742354</v>
      </c>
      <c r="R100" s="99">
        <v>-16.465397743886612</v>
      </c>
      <c r="S100" s="99">
        <v>-53.191249577380134</v>
      </c>
      <c r="T100" s="99">
        <v>-29.564479203563963</v>
      </c>
      <c r="U100" s="99">
        <v>41.457918013024283</v>
      </c>
      <c r="V100" s="99">
        <v>-1.9173445505064706</v>
      </c>
      <c r="W100" s="99">
        <v>-2.5174201462451862</v>
      </c>
      <c r="X100" s="100">
        <v>0.69660480344207087</v>
      </c>
    </row>
    <row r="101" spans="5:24" x14ac:dyDescent="0.2">
      <c r="E101" s="10">
        <v>-1.1730236326196035</v>
      </c>
      <c r="F101" s="10">
        <v>-84.912465206357808</v>
      </c>
      <c r="G101" s="10">
        <v>-29.426695618509228</v>
      </c>
      <c r="H101" s="10">
        <v>13.932340364923306</v>
      </c>
      <c r="I101" s="10">
        <v>25.055477181593872</v>
      </c>
      <c r="J101" s="10">
        <v>2.6750816015535008</v>
      </c>
      <c r="K101" s="10">
        <v>-7.1207312772234417</v>
      </c>
      <c r="L101" s="10">
        <v>-1.9640911176104936</v>
      </c>
      <c r="M101" s="10">
        <v>3.6331825798507964</v>
      </c>
      <c r="N101" s="10">
        <v>-4.8274647069678593</v>
      </c>
      <c r="O101" s="10">
        <v>119.9868758561245</v>
      </c>
      <c r="P101" s="10">
        <v>-67.882238807063175</v>
      </c>
      <c r="Q101" s="10">
        <v>54.847740378166719</v>
      </c>
      <c r="R101" s="10">
        <v>-9.5725329500419605</v>
      </c>
      <c r="S101" s="10">
        <v>-99.102291053805985</v>
      </c>
      <c r="T101" s="10">
        <v>-25.937467004039121</v>
      </c>
      <c r="U101" s="10">
        <v>245.70268604674624</v>
      </c>
      <c r="V101" s="10">
        <v>46.203997032649653</v>
      </c>
      <c r="W101" s="10">
        <v>2.122029569449424</v>
      </c>
      <c r="X101" s="101">
        <v>-21.849134378140363</v>
      </c>
    </row>
    <row r="102" spans="5:24" x14ac:dyDescent="0.2">
      <c r="E102" s="102">
        <v>9.2772060545939894</v>
      </c>
      <c r="F102" s="102">
        <v>-33.822264060915003</v>
      </c>
      <c r="G102" s="102">
        <v>4.5391373904465411</v>
      </c>
      <c r="H102" s="102">
        <v>6.8837544736467748</v>
      </c>
      <c r="I102" s="102">
        <v>29.250996065647684</v>
      </c>
      <c r="J102" s="102">
        <v>16.918735355909647</v>
      </c>
      <c r="K102" s="102">
        <v>-0.46104203710906688</v>
      </c>
      <c r="L102" s="102">
        <v>15.583606281037703</v>
      </c>
      <c r="M102" s="102">
        <v>6.3348213310632389</v>
      </c>
      <c r="N102" s="102">
        <v>-5.8585266384803276</v>
      </c>
      <c r="O102" s="102">
        <v>-55.311690354203321</v>
      </c>
      <c r="P102" s="102">
        <v>-54.680862566151191</v>
      </c>
      <c r="Q102" s="102">
        <v>24.32147817089114</v>
      </c>
      <c r="R102" s="102">
        <v>7.2385538772141871</v>
      </c>
      <c r="S102" s="102">
        <v>197.05810620850031</v>
      </c>
      <c r="T102" s="102">
        <v>20.267523846564941</v>
      </c>
      <c r="U102" s="102">
        <v>123.11240165534861</v>
      </c>
      <c r="V102" s="102">
        <v>17.08114913825338</v>
      </c>
      <c r="W102" s="102">
        <v>16.882243908456232</v>
      </c>
      <c r="X102" s="103">
        <v>0.68705942914411366</v>
      </c>
    </row>
    <row r="108" spans="5:24" x14ac:dyDescent="0.2">
      <c r="E108" s="104">
        <f>E34-E33</f>
        <v>-58469.139999999781</v>
      </c>
    </row>
  </sheetData>
  <mergeCells count="1">
    <mergeCell ref="E2:X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opLeftCell="A16" workbookViewId="0">
      <selection activeCell="O24" sqref="O24"/>
    </sheetView>
  </sheetViews>
  <sheetFormatPr defaultRowHeight="11.25" x14ac:dyDescent="0.2"/>
  <cols>
    <col min="1" max="1" width="9.140625" style="8"/>
    <col min="2" max="4" width="9.28515625" style="8" bestFit="1" customWidth="1"/>
    <col min="5" max="5" width="10.85546875" style="8" bestFit="1" customWidth="1"/>
    <col min="6" max="6" width="11.5703125" style="8" bestFit="1" customWidth="1"/>
    <col min="7" max="7" width="12" style="8" bestFit="1" customWidth="1"/>
    <col min="8" max="8" width="11.85546875" style="8" bestFit="1" customWidth="1"/>
    <col min="9" max="10" width="10.42578125" style="8" bestFit="1" customWidth="1"/>
    <col min="11" max="11" width="12.5703125" style="8" bestFit="1" customWidth="1"/>
    <col min="12" max="13" width="11.140625" style="8" bestFit="1" customWidth="1"/>
    <col min="14" max="14" width="11.85546875" style="8" bestFit="1" customWidth="1"/>
    <col min="15" max="16" width="9.28515625" style="8" bestFit="1" customWidth="1"/>
    <col min="17" max="18" width="10.42578125" style="8" bestFit="1" customWidth="1"/>
    <col min="19" max="19" width="9.28515625" style="8" bestFit="1" customWidth="1"/>
    <col min="20" max="20" width="9.42578125" style="8" bestFit="1" customWidth="1"/>
    <col min="21" max="21" width="9.28515625" style="8" bestFit="1" customWidth="1"/>
    <col min="22" max="22" width="9.42578125" style="8" bestFit="1" customWidth="1"/>
    <col min="23" max="23" width="10.42578125" style="8" bestFit="1" customWidth="1"/>
    <col min="24" max="24" width="15.5703125" style="8" customWidth="1"/>
    <col min="25" max="16384" width="9.140625" style="8"/>
  </cols>
  <sheetData>
    <row r="1" spans="1:24" x14ac:dyDescent="0.2">
      <c r="E1" s="105" t="s">
        <v>42</v>
      </c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"/>
      <c r="V1" s="88"/>
      <c r="W1" s="1"/>
      <c r="X1" s="1"/>
    </row>
    <row r="2" spans="1:24" x14ac:dyDescent="0.2">
      <c r="E2" s="191" t="s">
        <v>43</v>
      </c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</row>
    <row r="3" spans="1:24" ht="78.75" x14ac:dyDescent="0.2">
      <c r="E3" s="90" t="s">
        <v>44</v>
      </c>
      <c r="F3" s="90" t="s">
        <v>45</v>
      </c>
      <c r="G3" s="90" t="s">
        <v>46</v>
      </c>
      <c r="H3" s="90" t="s">
        <v>47</v>
      </c>
      <c r="I3" s="90" t="s">
        <v>48</v>
      </c>
      <c r="J3" s="90" t="s">
        <v>49</v>
      </c>
      <c r="K3" s="90" t="s">
        <v>50</v>
      </c>
      <c r="L3" s="90" t="s">
        <v>51</v>
      </c>
      <c r="M3" s="90" t="s">
        <v>52</v>
      </c>
      <c r="N3" s="90" t="s">
        <v>53</v>
      </c>
      <c r="O3" s="90" t="s">
        <v>54</v>
      </c>
      <c r="P3" s="90" t="s">
        <v>55</v>
      </c>
      <c r="Q3" s="90" t="s">
        <v>56</v>
      </c>
      <c r="R3" s="90" t="s">
        <v>57</v>
      </c>
      <c r="S3" s="90" t="s">
        <v>58</v>
      </c>
      <c r="T3" s="90" t="s">
        <v>59</v>
      </c>
      <c r="U3" s="90" t="s">
        <v>60</v>
      </c>
      <c r="V3" s="90" t="s">
        <v>61</v>
      </c>
      <c r="W3" s="90" t="s">
        <v>62</v>
      </c>
      <c r="X3" s="91" t="s">
        <v>63</v>
      </c>
    </row>
    <row r="4" spans="1:24" x14ac:dyDescent="0.2">
      <c r="A4" s="8" t="str">
        <f>dados_icms!A4</f>
        <v>20171</v>
      </c>
      <c r="B4" s="8">
        <f>dados_icms!B4</f>
        <v>2017</v>
      </c>
      <c r="C4" s="8">
        <f>dados_icms!C4</f>
        <v>1</v>
      </c>
      <c r="D4" s="92">
        <f>dados_icms!D4</f>
        <v>42736</v>
      </c>
      <c r="E4" s="106">
        <f>ABS(SUMPRODUCT(dados_icms!E:E,-(dados_icms!$B:$B=$B4),-(dados_icms!$C:$C&lt;=$C4)))</f>
        <v>543626.73</v>
      </c>
      <c r="F4" s="106">
        <f>ABS(SUMPRODUCT(dados_icms!F:F,-(dados_icms!$B:$B=$B4),-(dados_icms!$C:$C&lt;=$C4)))</f>
        <v>132812851.49000001</v>
      </c>
      <c r="G4" s="106">
        <f>ABS(SUMPRODUCT(dados_icms!G:G,-(dados_icms!$B:$B=$B4),-(dados_icms!$C:$C&lt;=$C4)))</f>
        <v>729509679.45000029</v>
      </c>
      <c r="H4" s="106">
        <f>ABS(SUMPRODUCT(dados_icms!H:H,-(dados_icms!$B:$B=$B4),-(dados_icms!$C:$C&lt;=$C4)))</f>
        <v>540666850</v>
      </c>
      <c r="I4" s="106">
        <f>ABS(SUMPRODUCT(dados_icms!I:I,-(dados_icms!$B:$B=$B4),-(dados_icms!$C:$C&lt;=$C4)))</f>
        <v>1659140.75</v>
      </c>
      <c r="J4" s="106">
        <f>ABS(SUMPRODUCT(dados_icms!J:J,-(dados_icms!$B:$B=$B4),-(dados_icms!$C:$C&lt;=$C4)))</f>
        <v>6004148.1100000003</v>
      </c>
      <c r="K4" s="106">
        <f>ABS(SUMPRODUCT(dados_icms!K:K,-(dados_icms!$B:$B=$B4),-(dados_icms!$C:$C&lt;=$C4)))</f>
        <v>944932180.4999994</v>
      </c>
      <c r="L4" s="106">
        <f>ABS(SUMPRODUCT(dados_icms!L:L,-(dados_icms!$B:$B=$B4),-(dados_icms!$C:$C&lt;=$C4)))</f>
        <v>69559707.109999999</v>
      </c>
      <c r="M4" s="106">
        <f>ABS(SUMPRODUCT(dados_icms!M:M,-(dados_icms!$B:$B=$B4),-(dados_icms!$C:$C&lt;=$C4)))</f>
        <v>39052173.370000005</v>
      </c>
      <c r="N4" s="106">
        <f>ABS(SUMPRODUCT(dados_icms!N:N,-(dados_icms!$B:$B=$B4),-(dados_icms!$C:$C&lt;=$C4)))</f>
        <v>323614693.81999999</v>
      </c>
      <c r="O4" s="106">
        <f>ABS(SUMPRODUCT(dados_icms!O:O,-(dados_icms!$B:$B=$B4),-(dados_icms!$C:$C&lt;=$C4)))</f>
        <v>197569.03000000003</v>
      </c>
      <c r="P4" s="106">
        <f>ABS(SUMPRODUCT(dados_icms!P:P,-(dados_icms!$B:$B=$B4),-(dados_icms!$C:$C&lt;=$C4)))</f>
        <v>9895.36</v>
      </c>
      <c r="Q4" s="106">
        <f>ABS(SUMPRODUCT(dados_icms!Q:Q,-(dados_icms!$B:$B=$B4),-(dados_icms!$C:$C&lt;=$C4)))</f>
        <v>6480039.0000000028</v>
      </c>
      <c r="R4" s="106">
        <f>ABS(SUMPRODUCT(dados_icms!R:R,-(dados_icms!$B:$B=$B4),-(dados_icms!$C:$C&lt;=$C4)))</f>
        <v>5491412.4700000025</v>
      </c>
      <c r="S4" s="106">
        <f>ABS(SUMPRODUCT(dados_icms!S:S,-(dados_icms!$B:$B=$B4),-(dados_icms!$C:$C&lt;=$C4)))</f>
        <v>335178.7699999999</v>
      </c>
      <c r="T4" s="106">
        <f>ABS(SUMPRODUCT(dados_icms!T:T,-(dados_icms!$B:$B=$B4),-(dados_icms!$C:$C&lt;=$C4)))</f>
        <v>94567.9</v>
      </c>
      <c r="U4" s="106">
        <f>ABS(SUMPRODUCT(dados_icms!U:U,-(dados_icms!$B:$B=$B4),-(dados_icms!$C:$C&lt;=$C4)))</f>
        <v>55188.579999999994</v>
      </c>
      <c r="V4" s="106">
        <f>ABS(SUMPRODUCT(dados_icms!V:V,-(dados_icms!$B:$B=$B4),-(dados_icms!$C:$C&lt;=$C4)))</f>
        <v>405496.5799999999</v>
      </c>
      <c r="W4" s="106">
        <f>ABS(SUMPRODUCT(dados_icms!W:W,-(dados_icms!$B:$B=$B4),-(dados_icms!$C:$C&lt;=$C4)))</f>
        <v>3701941.3499999992</v>
      </c>
      <c r="X4" s="106">
        <f>ABS(SUMPRODUCT(dados_icms!X:X,-(dados_icms!$B:$B=$B4),-(dados_icms!$C:$C&lt;=$C4)))</f>
        <v>2805126340.3699999</v>
      </c>
    </row>
    <row r="5" spans="1:24" x14ac:dyDescent="0.2">
      <c r="A5" s="8" t="str">
        <f>dados_icms!A5</f>
        <v>20172</v>
      </c>
      <c r="B5" s="8">
        <f>dados_icms!B5</f>
        <v>2017</v>
      </c>
      <c r="C5" s="8">
        <f>dados_icms!C5</f>
        <v>2</v>
      </c>
      <c r="D5" s="92">
        <f>dados_icms!D5</f>
        <v>42767</v>
      </c>
      <c r="E5" s="106">
        <f>ABS(SUMPRODUCT(dados_icms!E:E,-(dados_icms!$B:$B=$B5),-(dados_icms!$C:$C&lt;=$C5)))</f>
        <v>970834.05</v>
      </c>
      <c r="F5" s="106">
        <f>ABS(SUMPRODUCT(dados_icms!F:F,-(dados_icms!$B:$B=$B5),-(dados_icms!$C:$C&lt;=$C5)))</f>
        <v>189161332.76000002</v>
      </c>
      <c r="G5" s="106">
        <f>ABS(SUMPRODUCT(dados_icms!G:G,-(dados_icms!$B:$B=$B5),-(dados_icms!$C:$C&lt;=$C5)))</f>
        <v>1492920787.7900009</v>
      </c>
      <c r="H5" s="106">
        <f>ABS(SUMPRODUCT(dados_icms!H:H,-(dados_icms!$B:$B=$B5),-(dados_icms!$C:$C&lt;=$C5)))</f>
        <v>1029312549.1900001</v>
      </c>
      <c r="I5" s="106">
        <f>ABS(SUMPRODUCT(dados_icms!I:I,-(dados_icms!$B:$B=$B5),-(dados_icms!$C:$C&lt;=$C5)))</f>
        <v>2777091.74</v>
      </c>
      <c r="J5" s="106">
        <f>ABS(SUMPRODUCT(dados_icms!J:J,-(dados_icms!$B:$B=$B5),-(dados_icms!$C:$C&lt;=$C5)))</f>
        <v>10903320.430000003</v>
      </c>
      <c r="K5" s="106">
        <f>ABS(SUMPRODUCT(dados_icms!K:K,-(dados_icms!$B:$B=$B5),-(dados_icms!$C:$C&lt;=$C5)))</f>
        <v>1835132650.5300004</v>
      </c>
      <c r="L5" s="106">
        <f>ABS(SUMPRODUCT(dados_icms!L:L,-(dados_icms!$B:$B=$B5),-(dados_icms!$C:$C&lt;=$C5)))</f>
        <v>144751339.63999999</v>
      </c>
      <c r="M5" s="106">
        <f>ABS(SUMPRODUCT(dados_icms!M:M,-(dados_icms!$B:$B=$B5),-(dados_icms!$C:$C&lt;=$C5)))</f>
        <v>73593214.350000009</v>
      </c>
      <c r="N5" s="106">
        <f>ABS(SUMPRODUCT(dados_icms!N:N,-(dados_icms!$B:$B=$B5),-(dados_icms!$C:$C&lt;=$C5)))</f>
        <v>670894529.0999999</v>
      </c>
      <c r="O5" s="106">
        <f>ABS(SUMPRODUCT(dados_icms!O:O,-(dados_icms!$B:$B=$B5),-(dados_icms!$C:$C&lt;=$C5)))</f>
        <v>492603.66</v>
      </c>
      <c r="P5" s="106">
        <f>ABS(SUMPRODUCT(dados_icms!P:P,-(dados_icms!$B:$B=$B5),-(dados_icms!$C:$C&lt;=$C5)))</f>
        <v>13489.390000000001</v>
      </c>
      <c r="Q5" s="106">
        <f>ABS(SUMPRODUCT(dados_icms!Q:Q,-(dados_icms!$B:$B=$B5),-(dados_icms!$C:$C&lt;=$C5)))</f>
        <v>9165398.7200000025</v>
      </c>
      <c r="R5" s="106">
        <f>ABS(SUMPRODUCT(dados_icms!R:R,-(dados_icms!$B:$B=$B5),-(dados_icms!$C:$C&lt;=$C5)))</f>
        <v>8278406.7200000025</v>
      </c>
      <c r="S5" s="106">
        <f>ABS(SUMPRODUCT(dados_icms!S:S,-(dados_icms!$B:$B=$B5),-(dados_icms!$C:$C&lt;=$C5)))</f>
        <v>517965.37999999989</v>
      </c>
      <c r="T5" s="106">
        <f>ABS(SUMPRODUCT(dados_icms!T:T,-(dados_icms!$B:$B=$B5),-(dados_icms!$C:$C&lt;=$C5)))</f>
        <v>227746</v>
      </c>
      <c r="U5" s="106">
        <f>ABS(SUMPRODUCT(dados_icms!U:U,-(dados_icms!$B:$B=$B5),-(dados_icms!$C:$C&lt;=$C5)))</f>
        <v>109457.57999999999</v>
      </c>
      <c r="V5" s="106">
        <f>ABS(SUMPRODUCT(dados_icms!V:V,-(dados_icms!$B:$B=$B5),-(dados_icms!$C:$C&lt;=$C5)))</f>
        <v>796451.0299999998</v>
      </c>
      <c r="W5" s="106">
        <f>ABS(SUMPRODUCT(dados_icms!W:W,-(dados_icms!$B:$B=$B5),-(dados_icms!$C:$C&lt;=$C5)))</f>
        <v>5811097.3999999985</v>
      </c>
      <c r="X5" s="106">
        <f>ABS(SUMPRODUCT(dados_icms!X:X,-(dados_icms!$B:$B=$B5),-(dados_icms!$C:$C&lt;=$C5)))</f>
        <v>5475830265.460001</v>
      </c>
    </row>
    <row r="6" spans="1:24" x14ac:dyDescent="0.2">
      <c r="A6" s="8" t="str">
        <f>dados_icms!A6</f>
        <v>20173</v>
      </c>
      <c r="B6" s="8">
        <f>dados_icms!B6</f>
        <v>2017</v>
      </c>
      <c r="C6" s="8">
        <f>dados_icms!C6</f>
        <v>3</v>
      </c>
      <c r="D6" s="92">
        <f>dados_icms!D6</f>
        <v>42795</v>
      </c>
      <c r="E6" s="106">
        <f>ABS(SUMPRODUCT(dados_icms!E:E,-(dados_icms!$B:$B=$B6),-(dados_icms!$C:$C&lt;=$C6)))</f>
        <v>1364677.3800000001</v>
      </c>
      <c r="F6" s="106">
        <f>ABS(SUMPRODUCT(dados_icms!F:F,-(dados_icms!$B:$B=$B6),-(dados_icms!$C:$C&lt;=$C6)))</f>
        <v>241821599.18000001</v>
      </c>
      <c r="G6" s="106">
        <f>ABS(SUMPRODUCT(dados_icms!G:G,-(dados_icms!$B:$B=$B6),-(dados_icms!$C:$C&lt;=$C6)))</f>
        <v>2170564801.2000003</v>
      </c>
      <c r="H6" s="106">
        <f>ABS(SUMPRODUCT(dados_icms!H:H,-(dados_icms!$B:$B=$B6),-(dados_icms!$C:$C&lt;=$C6)))</f>
        <v>1411450703.1300001</v>
      </c>
      <c r="I6" s="106">
        <f>ABS(SUMPRODUCT(dados_icms!I:I,-(dados_icms!$B:$B=$B6),-(dados_icms!$C:$C&lt;=$C6)))</f>
        <v>3587129.58</v>
      </c>
      <c r="J6" s="106">
        <f>ABS(SUMPRODUCT(dados_icms!J:J,-(dados_icms!$B:$B=$B6),-(dados_icms!$C:$C&lt;=$C6)))</f>
        <v>14482039.370000003</v>
      </c>
      <c r="K6" s="106">
        <f>ABS(SUMPRODUCT(dados_icms!K:K,-(dados_icms!$B:$B=$B6),-(dados_icms!$C:$C&lt;=$C6)))</f>
        <v>2655962908.21</v>
      </c>
      <c r="L6" s="106">
        <f>ABS(SUMPRODUCT(dados_icms!L:L,-(dados_icms!$B:$B=$B6),-(dados_icms!$C:$C&lt;=$C6)))</f>
        <v>210594794.42999998</v>
      </c>
      <c r="M6" s="106">
        <f>ABS(SUMPRODUCT(dados_icms!M:M,-(dados_icms!$B:$B=$B6),-(dados_icms!$C:$C&lt;=$C6)))</f>
        <v>108279751.05000001</v>
      </c>
      <c r="N6" s="106">
        <f>ABS(SUMPRODUCT(dados_icms!N:N,-(dados_icms!$B:$B=$B6),-(dados_icms!$C:$C&lt;=$C6)))</f>
        <v>990946200.28999984</v>
      </c>
      <c r="O6" s="106">
        <f>ABS(SUMPRODUCT(dados_icms!O:O,-(dados_icms!$B:$B=$B6),-(dados_icms!$C:$C&lt;=$C6)))</f>
        <v>739816.99</v>
      </c>
      <c r="P6" s="106">
        <f>ABS(SUMPRODUCT(dados_icms!P:P,-(dados_icms!$B:$B=$B6),-(dados_icms!$C:$C&lt;=$C6)))</f>
        <v>52841.88</v>
      </c>
      <c r="Q6" s="106">
        <f>ABS(SUMPRODUCT(dados_icms!Q:Q,-(dados_icms!$B:$B=$B6),-(dados_icms!$C:$C&lt;=$C6)))</f>
        <v>11825012.660000004</v>
      </c>
      <c r="R6" s="106">
        <f>ABS(SUMPRODUCT(dados_icms!R:R,-(dados_icms!$B:$B=$B6),-(dados_icms!$C:$C&lt;=$C6)))</f>
        <v>11470480.570000004</v>
      </c>
      <c r="S6" s="106">
        <f>ABS(SUMPRODUCT(dados_icms!S:S,-(dados_icms!$B:$B=$B6),-(dados_icms!$C:$C&lt;=$C6)))</f>
        <v>828129.23999999987</v>
      </c>
      <c r="T6" s="106">
        <f>ABS(SUMPRODUCT(dados_icms!T:T,-(dados_icms!$B:$B=$B6),-(dados_icms!$C:$C&lt;=$C6)))</f>
        <v>412025.13</v>
      </c>
      <c r="U6" s="106">
        <f>ABS(SUMPRODUCT(dados_icms!U:U,-(dados_icms!$B:$B=$B6),-(dados_icms!$C:$C&lt;=$C6)))</f>
        <v>161847.64999999997</v>
      </c>
      <c r="V6" s="106">
        <f>ABS(SUMPRODUCT(dados_icms!V:V,-(dados_icms!$B:$B=$B6),-(dados_icms!$C:$C&lt;=$C6)))</f>
        <v>1065013.1799999997</v>
      </c>
      <c r="W6" s="106">
        <f>ABS(SUMPRODUCT(dados_icms!W:W,-(dados_icms!$B:$B=$B6),-(dados_icms!$C:$C&lt;=$C6)))</f>
        <v>7008488.7299999986</v>
      </c>
      <c r="X6" s="106">
        <f>ABS(SUMPRODUCT(dados_icms!X:X,-(dados_icms!$B:$B=$B6),-(dados_icms!$C:$C&lt;=$C6)))</f>
        <v>7842618259.8500004</v>
      </c>
    </row>
    <row r="7" spans="1:24" x14ac:dyDescent="0.2">
      <c r="A7" s="8" t="str">
        <f>dados_icms!A7</f>
        <v>20174</v>
      </c>
      <c r="B7" s="8">
        <f>dados_icms!B7</f>
        <v>2017</v>
      </c>
      <c r="C7" s="8">
        <f>dados_icms!C7</f>
        <v>4</v>
      </c>
      <c r="D7" s="92">
        <f>dados_icms!D7</f>
        <v>42826</v>
      </c>
      <c r="E7" s="106">
        <f>ABS(SUMPRODUCT(dados_icms!E:E,-(dados_icms!$B:$B=$B7),-(dados_icms!$C:$C&lt;=$C7)))</f>
        <v>1685689.4400000002</v>
      </c>
      <c r="F7" s="106">
        <f>ABS(SUMPRODUCT(dados_icms!F:F,-(dados_icms!$B:$B=$B7),-(dados_icms!$C:$C&lt;=$C7)))</f>
        <v>280573731</v>
      </c>
      <c r="G7" s="106">
        <f>ABS(SUMPRODUCT(dados_icms!G:G,-(dados_icms!$B:$B=$B7),-(dados_icms!$C:$C&lt;=$C7)))</f>
        <v>2951159262.6099997</v>
      </c>
      <c r="H7" s="106">
        <f>ABS(SUMPRODUCT(dados_icms!H:H,-(dados_icms!$B:$B=$B7),-(dados_icms!$C:$C&lt;=$C7)))</f>
        <v>2045763192.4000001</v>
      </c>
      <c r="I7" s="106">
        <f>ABS(SUMPRODUCT(dados_icms!I:I,-(dados_icms!$B:$B=$B7),-(dados_icms!$C:$C&lt;=$C7)))</f>
        <v>5524348.1500000004</v>
      </c>
      <c r="J7" s="106">
        <f>ABS(SUMPRODUCT(dados_icms!J:J,-(dados_icms!$B:$B=$B7),-(dados_icms!$C:$C&lt;=$C7)))</f>
        <v>19399614.020000003</v>
      </c>
      <c r="K7" s="106">
        <f>ABS(SUMPRODUCT(dados_icms!K:K,-(dados_icms!$B:$B=$B7),-(dados_icms!$C:$C&lt;=$C7)))</f>
        <v>3591798036.8400002</v>
      </c>
      <c r="L7" s="106">
        <f>ABS(SUMPRODUCT(dados_icms!L:L,-(dados_icms!$B:$B=$B7),-(dados_icms!$C:$C&lt;=$C7)))</f>
        <v>277553716.42000002</v>
      </c>
      <c r="M7" s="106">
        <f>ABS(SUMPRODUCT(dados_icms!M:M,-(dados_icms!$B:$B=$B7),-(dados_icms!$C:$C&lt;=$C7)))</f>
        <v>145810028.27000001</v>
      </c>
      <c r="N7" s="106">
        <f>ABS(SUMPRODUCT(dados_icms!N:N,-(dados_icms!$B:$B=$B7),-(dados_icms!$C:$C&lt;=$C7)))</f>
        <v>1332992348.9199998</v>
      </c>
      <c r="O7" s="106">
        <f>ABS(SUMPRODUCT(dados_icms!O:O,-(dados_icms!$B:$B=$B7),-(dados_icms!$C:$C&lt;=$C7)))</f>
        <v>998314.7699999999</v>
      </c>
      <c r="P7" s="106">
        <f>ABS(SUMPRODUCT(dados_icms!P:P,-(dados_icms!$B:$B=$B7),-(dados_icms!$C:$C&lt;=$C7)))</f>
        <v>56309.049999999996</v>
      </c>
      <c r="Q7" s="106">
        <f>ABS(SUMPRODUCT(dados_icms!Q:Q,-(dados_icms!$B:$B=$B7),-(dados_icms!$C:$C&lt;=$C7)))</f>
        <v>18064409.550000004</v>
      </c>
      <c r="R7" s="106">
        <f>ABS(SUMPRODUCT(dados_icms!R:R,-(dados_icms!$B:$B=$B7),-(dados_icms!$C:$C&lt;=$C7)))</f>
        <v>15680200.600000005</v>
      </c>
      <c r="S7" s="106">
        <f>ABS(SUMPRODUCT(dados_icms!S:S,-(dados_icms!$B:$B=$B7),-(dados_icms!$C:$C&lt;=$C7)))</f>
        <v>1308811.5099999998</v>
      </c>
      <c r="T7" s="106">
        <f>ABS(SUMPRODUCT(dados_icms!T:T,-(dados_icms!$B:$B=$B7),-(dados_icms!$C:$C&lt;=$C7)))</f>
        <v>534393.01</v>
      </c>
      <c r="U7" s="106">
        <f>ABS(SUMPRODUCT(dados_icms!U:U,-(dados_icms!$B:$B=$B7),-(dados_icms!$C:$C&lt;=$C7)))</f>
        <v>254494.24</v>
      </c>
      <c r="V7" s="106">
        <f>ABS(SUMPRODUCT(dados_icms!V:V,-(dados_icms!$B:$B=$B7),-(dados_icms!$C:$C&lt;=$C7)))</f>
        <v>1310205.0899999996</v>
      </c>
      <c r="W7" s="106">
        <f>ABS(SUMPRODUCT(dados_icms!W:W,-(dados_icms!$B:$B=$B7),-(dados_icms!$C:$C&lt;=$C7)))</f>
        <v>8522761.8199999984</v>
      </c>
      <c r="X7" s="106">
        <f>ABS(SUMPRODUCT(dados_icms!X:X,-(dados_icms!$B:$B=$B7),-(dados_icms!$C:$C&lt;=$C7)))</f>
        <v>10698989867.710001</v>
      </c>
    </row>
    <row r="8" spans="1:24" x14ac:dyDescent="0.2">
      <c r="A8" s="8" t="str">
        <f>dados_icms!A8</f>
        <v>20175</v>
      </c>
      <c r="B8" s="8">
        <f>dados_icms!B8</f>
        <v>2017</v>
      </c>
      <c r="C8" s="8">
        <f>dados_icms!C8</f>
        <v>5</v>
      </c>
      <c r="D8" s="92">
        <f>dados_icms!D8</f>
        <v>42856</v>
      </c>
      <c r="E8" s="106">
        <f>ABS(SUMPRODUCT(dados_icms!E:E,-(dados_icms!$B:$B=$B8),-(dados_icms!$C:$C&lt;=$C8)))</f>
        <v>2263919.41</v>
      </c>
      <c r="F8" s="106">
        <f>ABS(SUMPRODUCT(dados_icms!F:F,-(dados_icms!$B:$B=$B8),-(dados_icms!$C:$C&lt;=$C8)))</f>
        <v>329198393.5</v>
      </c>
      <c r="G8" s="106">
        <f>ABS(SUMPRODUCT(dados_icms!G:G,-(dados_icms!$B:$B=$B8),-(dados_icms!$C:$C&lt;=$C8)))</f>
        <v>3554830795.0500002</v>
      </c>
      <c r="H8" s="106">
        <f>ABS(SUMPRODUCT(dados_icms!H:H,-(dados_icms!$B:$B=$B8),-(dados_icms!$C:$C&lt;=$C8)))</f>
        <v>2540473895.1800003</v>
      </c>
      <c r="I8" s="106">
        <f>ABS(SUMPRODUCT(dados_icms!I:I,-(dados_icms!$B:$B=$B8),-(dados_icms!$C:$C&lt;=$C8)))</f>
        <v>6909331.8000000007</v>
      </c>
      <c r="J8" s="106">
        <f>ABS(SUMPRODUCT(dados_icms!J:J,-(dados_icms!$B:$B=$B8),-(dados_icms!$C:$C&lt;=$C8)))</f>
        <v>23188118.020000003</v>
      </c>
      <c r="K8" s="106">
        <f>ABS(SUMPRODUCT(dados_icms!K:K,-(dados_icms!$B:$B=$B8),-(dados_icms!$C:$C&lt;=$C8)))</f>
        <v>4473979315.5200005</v>
      </c>
      <c r="L8" s="106">
        <f>ABS(SUMPRODUCT(dados_icms!L:L,-(dados_icms!$B:$B=$B8),-(dados_icms!$C:$C&lt;=$C8)))</f>
        <v>340055061.84000003</v>
      </c>
      <c r="M8" s="106">
        <f>ABS(SUMPRODUCT(dados_icms!M:M,-(dados_icms!$B:$B=$B8),-(dados_icms!$C:$C&lt;=$C8)))</f>
        <v>181321264.38</v>
      </c>
      <c r="N8" s="106">
        <f>ABS(SUMPRODUCT(dados_icms!N:N,-(dados_icms!$B:$B=$B8),-(dados_icms!$C:$C&lt;=$C8)))</f>
        <v>1696654290.2599998</v>
      </c>
      <c r="O8" s="106">
        <f>ABS(SUMPRODUCT(dados_icms!O:O,-(dados_icms!$B:$B=$B8),-(dados_icms!$C:$C&lt;=$C8)))</f>
        <v>1191904.3099999998</v>
      </c>
      <c r="P8" s="106">
        <f>ABS(SUMPRODUCT(dados_icms!P:P,-(dados_icms!$B:$B=$B8),-(dados_icms!$C:$C&lt;=$C8)))</f>
        <v>71203.23</v>
      </c>
      <c r="Q8" s="106">
        <f>ABS(SUMPRODUCT(dados_icms!Q:Q,-(dados_icms!$B:$B=$B8),-(dados_icms!$C:$C&lt;=$C8)))</f>
        <v>20988593.780000005</v>
      </c>
      <c r="R8" s="106">
        <f>ABS(SUMPRODUCT(dados_icms!R:R,-(dados_icms!$B:$B=$B8),-(dados_icms!$C:$C&lt;=$C8)))</f>
        <v>19363918.700000007</v>
      </c>
      <c r="S8" s="106">
        <f>ABS(SUMPRODUCT(dados_icms!S:S,-(dados_icms!$B:$B=$B8),-(dados_icms!$C:$C&lt;=$C8)))</f>
        <v>1746867.2899999998</v>
      </c>
      <c r="T8" s="106">
        <f>ABS(SUMPRODUCT(dados_icms!T:T,-(dados_icms!$B:$B=$B8),-(dados_icms!$C:$C&lt;=$C8)))</f>
        <v>637375.04</v>
      </c>
      <c r="U8" s="106">
        <f>ABS(SUMPRODUCT(dados_icms!U:U,-(dados_icms!$B:$B=$B8),-(dados_icms!$C:$C&lt;=$C8)))</f>
        <v>329910.44</v>
      </c>
      <c r="V8" s="106">
        <f>ABS(SUMPRODUCT(dados_icms!V:V,-(dados_icms!$B:$B=$B8),-(dados_icms!$C:$C&lt;=$C8)))</f>
        <v>1665990.8399999996</v>
      </c>
      <c r="W8" s="106">
        <f>ABS(SUMPRODUCT(dados_icms!W:W,-(dados_icms!$B:$B=$B8),-(dados_icms!$C:$C&lt;=$C8)))</f>
        <v>10095681.479999999</v>
      </c>
      <c r="X8" s="106">
        <f>ABS(SUMPRODUCT(dados_icms!X:X,-(dados_icms!$B:$B=$B8),-(dados_icms!$C:$C&lt;=$C8)))</f>
        <v>13204965830.070002</v>
      </c>
    </row>
    <row r="9" spans="1:24" x14ac:dyDescent="0.2">
      <c r="A9" s="8" t="str">
        <f>dados_icms!A9</f>
        <v>20176</v>
      </c>
      <c r="B9" s="8">
        <f>dados_icms!B9</f>
        <v>2017</v>
      </c>
      <c r="C9" s="8">
        <f>dados_icms!C9</f>
        <v>6</v>
      </c>
      <c r="D9" s="92">
        <f>dados_icms!D9</f>
        <v>42887</v>
      </c>
      <c r="E9" s="106">
        <f>ABS(SUMPRODUCT(dados_icms!E:E,-(dados_icms!$B:$B=$B9),-(dados_icms!$C:$C&lt;=$C9)))</f>
        <v>2854231.8200000003</v>
      </c>
      <c r="F9" s="106">
        <f>ABS(SUMPRODUCT(dados_icms!F:F,-(dados_icms!$B:$B=$B9),-(dados_icms!$C:$C&lt;=$C9)))</f>
        <v>370386426.13999999</v>
      </c>
      <c r="G9" s="106">
        <f>ABS(SUMPRODUCT(dados_icms!G:G,-(dados_icms!$B:$B=$B9),-(dados_icms!$C:$C&lt;=$C9)))</f>
        <v>4218824675.3400011</v>
      </c>
      <c r="H9" s="106">
        <f>ABS(SUMPRODUCT(dados_icms!H:H,-(dados_icms!$B:$B=$B9),-(dados_icms!$C:$C&lt;=$C9)))</f>
        <v>2960581559.9900002</v>
      </c>
      <c r="I9" s="106">
        <f>ABS(SUMPRODUCT(dados_icms!I:I,-(dados_icms!$B:$B=$B9),-(dados_icms!$C:$C&lt;=$C9)))</f>
        <v>8539055.4700000007</v>
      </c>
      <c r="J9" s="106">
        <f>ABS(SUMPRODUCT(dados_icms!J:J,-(dados_icms!$B:$B=$B9),-(dados_icms!$C:$C&lt;=$C9)))</f>
        <v>27417361.980000004</v>
      </c>
      <c r="K9" s="106">
        <f>ABS(SUMPRODUCT(dados_icms!K:K,-(dados_icms!$B:$B=$B9),-(dados_icms!$C:$C&lt;=$C9)))</f>
        <v>5379079232.4900017</v>
      </c>
      <c r="L9" s="106">
        <f>ABS(SUMPRODUCT(dados_icms!L:L,-(dados_icms!$B:$B=$B9),-(dados_icms!$C:$C&lt;=$C9)))</f>
        <v>414009187.15000004</v>
      </c>
      <c r="M9" s="106">
        <f>ABS(SUMPRODUCT(dados_icms!M:M,-(dados_icms!$B:$B=$B9),-(dados_icms!$C:$C&lt;=$C9)))</f>
        <v>215370246</v>
      </c>
      <c r="N9" s="106">
        <f>ABS(SUMPRODUCT(dados_icms!N:N,-(dados_icms!$B:$B=$B9),-(dados_icms!$C:$C&lt;=$C9)))</f>
        <v>2061478346.0899997</v>
      </c>
      <c r="O9" s="106">
        <f>ABS(SUMPRODUCT(dados_icms!O:O,-(dados_icms!$B:$B=$B9),-(dados_icms!$C:$C&lt;=$C9)))</f>
        <v>1403105.6199999999</v>
      </c>
      <c r="P9" s="106">
        <f>ABS(SUMPRODUCT(dados_icms!P:P,-(dados_icms!$B:$B=$B9),-(dados_icms!$C:$C&lt;=$C9)))</f>
        <v>97285.01</v>
      </c>
      <c r="Q9" s="106">
        <f>ABS(SUMPRODUCT(dados_icms!Q:Q,-(dados_icms!$B:$B=$B9),-(dados_icms!$C:$C&lt;=$C9)))</f>
        <v>25035999.160000004</v>
      </c>
      <c r="R9" s="106">
        <f>ABS(SUMPRODUCT(dados_icms!R:R,-(dados_icms!$B:$B=$B9),-(dados_icms!$C:$C&lt;=$C9)))</f>
        <v>22985108.770000007</v>
      </c>
      <c r="S9" s="106">
        <f>ABS(SUMPRODUCT(dados_icms!S:S,-(dados_icms!$B:$B=$B9),-(dados_icms!$C:$C&lt;=$C9)))</f>
        <v>2048261.8499999999</v>
      </c>
      <c r="T9" s="106">
        <f>ABS(SUMPRODUCT(dados_icms!T:T,-(dados_icms!$B:$B=$B9),-(dados_icms!$C:$C&lt;=$C9)))</f>
        <v>768562.32000000007</v>
      </c>
      <c r="U9" s="106">
        <f>ABS(SUMPRODUCT(dados_icms!U:U,-(dados_icms!$B:$B=$B9),-(dados_icms!$C:$C&lt;=$C9)))</f>
        <v>422826.97</v>
      </c>
      <c r="V9" s="106">
        <f>ABS(SUMPRODUCT(dados_icms!V:V,-(dados_icms!$B:$B=$B9),-(dados_icms!$C:$C&lt;=$C9)))</f>
        <v>1899636.6799999997</v>
      </c>
      <c r="W9" s="106">
        <f>ABS(SUMPRODUCT(dados_icms!W:W,-(dados_icms!$B:$B=$B9),-(dados_icms!$C:$C&lt;=$C9)))</f>
        <v>11203612.349999998</v>
      </c>
      <c r="X9" s="106">
        <f>ABS(SUMPRODUCT(dados_icms!X:X,-(dados_icms!$B:$B=$B9),-(dados_icms!$C:$C&lt;=$C9)))</f>
        <v>15724404721.200005</v>
      </c>
    </row>
    <row r="10" spans="1:24" x14ac:dyDescent="0.2">
      <c r="A10" s="8" t="str">
        <f>dados_icms!A10</f>
        <v>20177</v>
      </c>
      <c r="B10" s="8">
        <f>dados_icms!B10</f>
        <v>2017</v>
      </c>
      <c r="C10" s="8">
        <f>dados_icms!C10</f>
        <v>7</v>
      </c>
      <c r="D10" s="92">
        <f>dados_icms!D10</f>
        <v>42917</v>
      </c>
      <c r="E10" s="106">
        <f>ABS(SUMPRODUCT(dados_icms!E:E,-(dados_icms!$B:$B=$B10),-(dados_icms!$C:$C&lt;=$C10)))</f>
        <v>3650770.93</v>
      </c>
      <c r="F10" s="106">
        <f>ABS(SUMPRODUCT(dados_icms!F:F,-(dados_icms!$B:$B=$B10),-(dados_icms!$C:$C&lt;=$C10)))</f>
        <v>419116762.98000002</v>
      </c>
      <c r="G10" s="106">
        <f>ABS(SUMPRODUCT(dados_icms!G:G,-(dados_icms!$B:$B=$B10),-(dados_icms!$C:$C&lt;=$C10)))</f>
        <v>4971487202.1800003</v>
      </c>
      <c r="H10" s="106">
        <f>ABS(SUMPRODUCT(dados_icms!H:H,-(dados_icms!$B:$B=$B10),-(dados_icms!$C:$C&lt;=$C10)))</f>
        <v>3353743512.6800003</v>
      </c>
      <c r="I10" s="106">
        <f>ABS(SUMPRODUCT(dados_icms!I:I,-(dados_icms!$B:$B=$B10),-(dados_icms!$C:$C&lt;=$C10)))</f>
        <v>9930107.7200000007</v>
      </c>
      <c r="J10" s="106">
        <f>ABS(SUMPRODUCT(dados_icms!J:J,-(dados_icms!$B:$B=$B10),-(dados_icms!$C:$C&lt;=$C10)))</f>
        <v>31478525.010000002</v>
      </c>
      <c r="K10" s="106">
        <f>ABS(SUMPRODUCT(dados_icms!K:K,-(dados_icms!$B:$B=$B10),-(dados_icms!$C:$C&lt;=$C10)))</f>
        <v>6243400086.5600014</v>
      </c>
      <c r="L10" s="106">
        <f>ABS(SUMPRODUCT(dados_icms!L:L,-(dados_icms!$B:$B=$B10),-(dados_icms!$C:$C&lt;=$C10)))</f>
        <v>484467197.79000008</v>
      </c>
      <c r="M10" s="106">
        <f>ABS(SUMPRODUCT(dados_icms!M:M,-(dados_icms!$B:$B=$B10),-(dados_icms!$C:$C&lt;=$C10)))</f>
        <v>248996588.97</v>
      </c>
      <c r="N10" s="106">
        <f>ABS(SUMPRODUCT(dados_icms!N:N,-(dados_icms!$B:$B=$B10),-(dados_icms!$C:$C&lt;=$C10)))</f>
        <v>2370072820.2499995</v>
      </c>
      <c r="O10" s="106">
        <f>ABS(SUMPRODUCT(dados_icms!O:O,-(dados_icms!$B:$B=$B10),-(dados_icms!$C:$C&lt;=$C10)))</f>
        <v>1600211.5799999998</v>
      </c>
      <c r="P10" s="106">
        <f>ABS(SUMPRODUCT(dados_icms!P:P,-(dados_icms!$B:$B=$B10),-(dados_icms!$C:$C&lt;=$C10)))</f>
        <v>107076.10999999999</v>
      </c>
      <c r="Q10" s="106">
        <f>ABS(SUMPRODUCT(dados_icms!Q:Q,-(dados_icms!$B:$B=$B10),-(dados_icms!$C:$C&lt;=$C10)))</f>
        <v>30368160.660000004</v>
      </c>
      <c r="R10" s="106">
        <f>ABS(SUMPRODUCT(dados_icms!R:R,-(dados_icms!$B:$B=$B10),-(dados_icms!$C:$C&lt;=$C10)))</f>
        <v>26178167.310000006</v>
      </c>
      <c r="S10" s="106">
        <f>ABS(SUMPRODUCT(dados_icms!S:S,-(dados_icms!$B:$B=$B10),-(dados_icms!$C:$C&lt;=$C10)))</f>
        <v>2382321.6599999997</v>
      </c>
      <c r="T10" s="106">
        <f>ABS(SUMPRODUCT(dados_icms!T:T,-(dados_icms!$B:$B=$B10),-(dados_icms!$C:$C&lt;=$C10)))</f>
        <v>854034.46000000008</v>
      </c>
      <c r="U10" s="106">
        <f>ABS(SUMPRODUCT(dados_icms!U:U,-(dados_icms!$B:$B=$B10),-(dados_icms!$C:$C&lt;=$C10)))</f>
        <v>502582.16</v>
      </c>
      <c r="V10" s="106">
        <f>ABS(SUMPRODUCT(dados_icms!V:V,-(dados_icms!$B:$B=$B10),-(dados_icms!$C:$C&lt;=$C10)))</f>
        <v>2247876.7899999996</v>
      </c>
      <c r="W10" s="106">
        <f>ABS(SUMPRODUCT(dados_icms!W:W,-(dados_icms!$B:$B=$B10),-(dados_icms!$C:$C&lt;=$C10)))</f>
        <v>12423510.829999998</v>
      </c>
      <c r="X10" s="106">
        <f>ABS(SUMPRODUCT(dados_icms!X:X,-(dados_icms!$B:$B=$B10),-(dados_icms!$C:$C&lt;=$C10)))</f>
        <v>18213007516.630005</v>
      </c>
    </row>
    <row r="11" spans="1:24" x14ac:dyDescent="0.2">
      <c r="A11" s="8" t="str">
        <f>dados_icms!A11</f>
        <v>20178</v>
      </c>
      <c r="B11" s="8">
        <f>dados_icms!B11</f>
        <v>2017</v>
      </c>
      <c r="C11" s="8">
        <f>dados_icms!C11</f>
        <v>8</v>
      </c>
      <c r="D11" s="92">
        <f>dados_icms!D11</f>
        <v>42948</v>
      </c>
      <c r="E11" s="106">
        <f>ABS(SUMPRODUCT(dados_icms!E:E,-(dados_icms!$B:$B=$B11),-(dados_icms!$C:$C&lt;=$C11)))</f>
        <v>4469087.4800000004</v>
      </c>
      <c r="F11" s="106">
        <f>ABS(SUMPRODUCT(dados_icms!F:F,-(dados_icms!$B:$B=$B11),-(dados_icms!$C:$C&lt;=$C11)))</f>
        <v>466041655.02000004</v>
      </c>
      <c r="G11" s="106">
        <f>ABS(SUMPRODUCT(dados_icms!G:G,-(dados_icms!$B:$B=$B11),-(dados_icms!$C:$C&lt;=$C11)))</f>
        <v>5739752155.4299994</v>
      </c>
      <c r="H11" s="106">
        <f>ABS(SUMPRODUCT(dados_icms!H:H,-(dados_icms!$B:$B=$B11),-(dados_icms!$C:$C&lt;=$C11)))</f>
        <v>3688425061.4700003</v>
      </c>
      <c r="I11" s="106">
        <f>ABS(SUMPRODUCT(dados_icms!I:I,-(dados_icms!$B:$B=$B11),-(dados_icms!$C:$C&lt;=$C11)))</f>
        <v>11332368.84</v>
      </c>
      <c r="J11" s="106">
        <f>ABS(SUMPRODUCT(dados_icms!J:J,-(dados_icms!$B:$B=$B11),-(dados_icms!$C:$C&lt;=$C11)))</f>
        <v>35496397.240000002</v>
      </c>
      <c r="K11" s="106">
        <f>ABS(SUMPRODUCT(dados_icms!K:K,-(dados_icms!$B:$B=$B11),-(dados_icms!$C:$C&lt;=$C11)))</f>
        <v>7176098127.7800007</v>
      </c>
      <c r="L11" s="106">
        <f>ABS(SUMPRODUCT(dados_icms!L:L,-(dados_icms!$B:$B=$B11),-(dados_icms!$C:$C&lt;=$C11)))</f>
        <v>557267246.01000011</v>
      </c>
      <c r="M11" s="106">
        <f>ABS(SUMPRODUCT(dados_icms!M:M,-(dados_icms!$B:$B=$B11),-(dados_icms!$C:$C&lt;=$C11)))</f>
        <v>284057261.31</v>
      </c>
      <c r="N11" s="106">
        <f>ABS(SUMPRODUCT(dados_icms!N:N,-(dados_icms!$B:$B=$B11),-(dados_icms!$C:$C&lt;=$C11)))</f>
        <v>2681411303.0299997</v>
      </c>
      <c r="O11" s="106">
        <f>ABS(SUMPRODUCT(dados_icms!O:O,-(dados_icms!$B:$B=$B11),-(dados_icms!$C:$C&lt;=$C11)))</f>
        <v>1799267.0199999998</v>
      </c>
      <c r="P11" s="106">
        <f>ABS(SUMPRODUCT(dados_icms!P:P,-(dados_icms!$B:$B=$B11),-(dados_icms!$C:$C&lt;=$C11)))</f>
        <v>118958.89999999998</v>
      </c>
      <c r="Q11" s="106">
        <f>ABS(SUMPRODUCT(dados_icms!Q:Q,-(dados_icms!$B:$B=$B11),-(dados_icms!$C:$C&lt;=$C11)))</f>
        <v>37244972.469999999</v>
      </c>
      <c r="R11" s="106">
        <f>ABS(SUMPRODUCT(dados_icms!R:R,-(dados_icms!$B:$B=$B11),-(dados_icms!$C:$C&lt;=$C11)))</f>
        <v>30460218.820000008</v>
      </c>
      <c r="S11" s="106">
        <f>ABS(SUMPRODUCT(dados_icms!S:S,-(dados_icms!$B:$B=$B11),-(dados_icms!$C:$C&lt;=$C11)))</f>
        <v>2916851.4999999995</v>
      </c>
      <c r="T11" s="106">
        <f>ABS(SUMPRODUCT(dados_icms!T:T,-(dados_icms!$B:$B=$B11),-(dados_icms!$C:$C&lt;=$C11)))</f>
        <v>987964.79</v>
      </c>
      <c r="U11" s="106">
        <f>ABS(SUMPRODUCT(dados_icms!U:U,-(dados_icms!$B:$B=$B11),-(dados_icms!$C:$C&lt;=$C11)))</f>
        <v>576259.76</v>
      </c>
      <c r="V11" s="106">
        <f>ABS(SUMPRODUCT(dados_icms!V:V,-(dados_icms!$B:$B=$B11),-(dados_icms!$C:$C&lt;=$C11)))</f>
        <v>2767355.8</v>
      </c>
      <c r="W11" s="106">
        <f>ABS(SUMPRODUCT(dados_icms!W:W,-(dados_icms!$B:$B=$B11),-(dados_icms!$C:$C&lt;=$C11)))</f>
        <v>13910166.689999998</v>
      </c>
      <c r="X11" s="106">
        <f>ABS(SUMPRODUCT(dados_icms!X:X,-(dados_icms!$B:$B=$B11),-(dados_icms!$C:$C&lt;=$C11)))</f>
        <v>20735132679.360004</v>
      </c>
    </row>
    <row r="12" spans="1:24" x14ac:dyDescent="0.2">
      <c r="A12" s="8" t="str">
        <f>dados_icms!A12</f>
        <v>20179</v>
      </c>
      <c r="B12" s="8">
        <f>dados_icms!B12</f>
        <v>2017</v>
      </c>
      <c r="C12" s="8">
        <f>dados_icms!C12</f>
        <v>9</v>
      </c>
      <c r="D12" s="92">
        <f>dados_icms!D12</f>
        <v>42979</v>
      </c>
      <c r="E12" s="106">
        <f>ABS(SUMPRODUCT(dados_icms!E:E,-(dados_icms!$B:$B=$B12),-(dados_icms!$C:$C&lt;=$C12)))</f>
        <v>4847861.33</v>
      </c>
      <c r="F12" s="106">
        <f>ABS(SUMPRODUCT(dados_icms!F:F,-(dados_icms!$B:$B=$B12),-(dados_icms!$C:$C&lt;=$C12)))</f>
        <v>588140011.67000008</v>
      </c>
      <c r="G12" s="106">
        <f>ABS(SUMPRODUCT(dados_icms!G:G,-(dados_icms!$B:$B=$B12),-(dados_icms!$C:$C&lt;=$C12)))</f>
        <v>6463486587.579999</v>
      </c>
      <c r="H12" s="106">
        <f>ABS(SUMPRODUCT(dados_icms!H:H,-(dados_icms!$B:$B=$B12),-(dados_icms!$C:$C&lt;=$C12)))</f>
        <v>4127015779.8600001</v>
      </c>
      <c r="I12" s="106">
        <f>ABS(SUMPRODUCT(dados_icms!I:I,-(dados_icms!$B:$B=$B12),-(dados_icms!$C:$C&lt;=$C12)))</f>
        <v>12850004.140000001</v>
      </c>
      <c r="J12" s="106">
        <f>ABS(SUMPRODUCT(dados_icms!J:J,-(dados_icms!$B:$B=$B12),-(dados_icms!$C:$C&lt;=$C12)))</f>
        <v>39201580.800000004</v>
      </c>
      <c r="K12" s="106">
        <f>ABS(SUMPRODUCT(dados_icms!K:K,-(dados_icms!$B:$B=$B12),-(dados_icms!$C:$C&lt;=$C12)))</f>
        <v>8104623938.9200001</v>
      </c>
      <c r="L12" s="106">
        <f>ABS(SUMPRODUCT(dados_icms!L:L,-(dados_icms!$B:$B=$B12),-(dados_icms!$C:$C&lt;=$C12)))</f>
        <v>630525469.69000006</v>
      </c>
      <c r="M12" s="106">
        <f>ABS(SUMPRODUCT(dados_icms!M:M,-(dados_icms!$B:$B=$B12),-(dados_icms!$C:$C&lt;=$C12)))</f>
        <v>319694501.14999998</v>
      </c>
      <c r="N12" s="106">
        <f>ABS(SUMPRODUCT(dados_icms!N:N,-(dados_icms!$B:$B=$B12),-(dados_icms!$C:$C&lt;=$C12)))</f>
        <v>3017437031.0899997</v>
      </c>
      <c r="O12" s="106">
        <f>ABS(SUMPRODUCT(dados_icms!O:O,-(dados_icms!$B:$B=$B12),-(dados_icms!$C:$C&lt;=$C12)))</f>
        <v>1980389.9299999997</v>
      </c>
      <c r="P12" s="106">
        <f>ABS(SUMPRODUCT(dados_icms!P:P,-(dados_icms!$B:$B=$B12),-(dados_icms!$C:$C&lt;=$C12)))</f>
        <v>128147.48999999998</v>
      </c>
      <c r="Q12" s="106">
        <f>ABS(SUMPRODUCT(dados_icms!Q:Q,-(dados_icms!$B:$B=$B12),-(dados_icms!$C:$C&lt;=$C12)))</f>
        <v>41195842.020000003</v>
      </c>
      <c r="R12" s="106">
        <f>ABS(SUMPRODUCT(dados_icms!R:R,-(dados_icms!$B:$B=$B12),-(dados_icms!$C:$C&lt;=$C12)))</f>
        <v>34868865.06000001</v>
      </c>
      <c r="S12" s="106">
        <f>ABS(SUMPRODUCT(dados_icms!S:S,-(dados_icms!$B:$B=$B12),-(dados_icms!$C:$C&lt;=$C12)))</f>
        <v>3343077.9699999997</v>
      </c>
      <c r="T12" s="106">
        <f>ABS(SUMPRODUCT(dados_icms!T:T,-(dados_icms!$B:$B=$B12),-(dados_icms!$C:$C&lt;=$C12)))</f>
        <v>1134430.1600000001</v>
      </c>
      <c r="U12" s="106">
        <f>ABS(SUMPRODUCT(dados_icms!U:U,-(dados_icms!$B:$B=$B12),-(dados_icms!$C:$C&lt;=$C12)))</f>
        <v>680440.18</v>
      </c>
      <c r="V12" s="106">
        <f>ABS(SUMPRODUCT(dados_icms!V:V,-(dados_icms!$B:$B=$B12),-(dados_icms!$C:$C&lt;=$C12)))</f>
        <v>3108833.44</v>
      </c>
      <c r="W12" s="106">
        <f>ABS(SUMPRODUCT(dados_icms!W:W,-(dados_icms!$B:$B=$B12),-(dados_icms!$C:$C&lt;=$C12)))</f>
        <v>15170519.239999998</v>
      </c>
      <c r="X12" s="106">
        <f>ABS(SUMPRODUCT(dados_icms!X:X,-(dados_icms!$B:$B=$B12),-(dados_icms!$C:$C&lt;=$C12)))</f>
        <v>23409433311.720005</v>
      </c>
    </row>
    <row r="13" spans="1:24" x14ac:dyDescent="0.2">
      <c r="A13" s="8" t="str">
        <f>dados_icms!A13</f>
        <v>201710</v>
      </c>
      <c r="B13" s="8">
        <f>dados_icms!B13</f>
        <v>2017</v>
      </c>
      <c r="C13" s="8">
        <f>dados_icms!C13</f>
        <v>10</v>
      </c>
      <c r="D13" s="92">
        <f>dados_icms!D13</f>
        <v>43009</v>
      </c>
      <c r="E13" s="106">
        <f>ABS(SUMPRODUCT(dados_icms!E:E,-(dados_icms!$B:$B=$B13),-(dados_icms!$C:$C&lt;=$C13)))</f>
        <v>5110911.17</v>
      </c>
      <c r="F13" s="106">
        <f>ABS(SUMPRODUCT(dados_icms!F:F,-(dados_icms!$B:$B=$B13),-(dados_icms!$C:$C&lt;=$C13)))</f>
        <v>623579394.7700001</v>
      </c>
      <c r="G13" s="106">
        <f>ABS(SUMPRODUCT(dados_icms!G:G,-(dados_icms!$B:$B=$B13),-(dados_icms!$C:$C&lt;=$C13)))</f>
        <v>7204683931.4999981</v>
      </c>
      <c r="H13" s="106">
        <f>ABS(SUMPRODUCT(dados_icms!H:H,-(dados_icms!$B:$B=$B13),-(dados_icms!$C:$C&lt;=$C13)))</f>
        <v>4575746625.3600006</v>
      </c>
      <c r="I13" s="106">
        <f>ABS(SUMPRODUCT(dados_icms!I:I,-(dados_icms!$B:$B=$B13),-(dados_icms!$C:$C&lt;=$C13)))</f>
        <v>14420717.65</v>
      </c>
      <c r="J13" s="106">
        <f>ABS(SUMPRODUCT(dados_icms!J:J,-(dados_icms!$B:$B=$B13),-(dados_icms!$C:$C&lt;=$C13)))</f>
        <v>42812788.370000005</v>
      </c>
      <c r="K13" s="106">
        <f>ABS(SUMPRODUCT(dados_icms!K:K,-(dados_icms!$B:$B=$B13),-(dados_icms!$C:$C&lt;=$C13)))</f>
        <v>9019933767.5200005</v>
      </c>
      <c r="L13" s="106">
        <f>ABS(SUMPRODUCT(dados_icms!L:L,-(dados_icms!$B:$B=$B13),-(dados_icms!$C:$C&lt;=$C13)))</f>
        <v>704656301.75999999</v>
      </c>
      <c r="M13" s="106">
        <f>ABS(SUMPRODUCT(dados_icms!M:M,-(dados_icms!$B:$B=$B13),-(dados_icms!$C:$C&lt;=$C13)))</f>
        <v>355291856.40999997</v>
      </c>
      <c r="N13" s="106">
        <f>ABS(SUMPRODUCT(dados_icms!N:N,-(dados_icms!$B:$B=$B13),-(dados_icms!$C:$C&lt;=$C13)))</f>
        <v>3369393223.2399998</v>
      </c>
      <c r="O13" s="106">
        <f>ABS(SUMPRODUCT(dados_icms!O:O,-(dados_icms!$B:$B=$B13),-(dados_icms!$C:$C&lt;=$C13)))</f>
        <v>2199024.9499999997</v>
      </c>
      <c r="P13" s="106">
        <f>ABS(SUMPRODUCT(dados_icms!P:P,-(dados_icms!$B:$B=$B13),-(dados_icms!$C:$C&lt;=$C13)))</f>
        <v>132944.85999999999</v>
      </c>
      <c r="Q13" s="106">
        <f>ABS(SUMPRODUCT(dados_icms!Q:Q,-(dados_icms!$B:$B=$B13),-(dados_icms!$C:$C&lt;=$C13)))</f>
        <v>45072574.690000005</v>
      </c>
      <c r="R13" s="106">
        <f>ABS(SUMPRODUCT(dados_icms!R:R,-(dados_icms!$B:$B=$B13),-(dados_icms!$C:$C&lt;=$C13)))</f>
        <v>38732304.24000001</v>
      </c>
      <c r="S13" s="106">
        <f>ABS(SUMPRODUCT(dados_icms!S:S,-(dados_icms!$B:$B=$B13),-(dados_icms!$C:$C&lt;=$C13)))</f>
        <v>3866097.9499999997</v>
      </c>
      <c r="T13" s="106">
        <f>ABS(SUMPRODUCT(dados_icms!T:T,-(dados_icms!$B:$B=$B13),-(dados_icms!$C:$C&lt;=$C13)))</f>
        <v>1243753.06</v>
      </c>
      <c r="U13" s="106">
        <f>ABS(SUMPRODUCT(dados_icms!U:U,-(dados_icms!$B:$B=$B13),-(dados_icms!$C:$C&lt;=$C13)))</f>
        <v>738969.46000000008</v>
      </c>
      <c r="V13" s="106">
        <f>ABS(SUMPRODUCT(dados_icms!V:V,-(dados_icms!$B:$B=$B13),-(dados_icms!$C:$C&lt;=$C13)))</f>
        <v>3417753.06</v>
      </c>
      <c r="W13" s="106">
        <f>ABS(SUMPRODUCT(dados_icms!W:W,-(dados_icms!$B:$B=$B13),-(dados_icms!$C:$C&lt;=$C13)))</f>
        <v>16268663.179999998</v>
      </c>
      <c r="X13" s="106">
        <f>ABS(SUMPRODUCT(dados_icms!X:X,-(dados_icms!$B:$B=$B13),-(dados_icms!$C:$C&lt;=$C13)))</f>
        <v>26027301603.200005</v>
      </c>
    </row>
    <row r="14" spans="1:24" x14ac:dyDescent="0.2">
      <c r="A14" s="8" t="str">
        <f>dados_icms!A14</f>
        <v>201711</v>
      </c>
      <c r="B14" s="8">
        <f>dados_icms!B14</f>
        <v>2017</v>
      </c>
      <c r="C14" s="8">
        <f>dados_icms!C14</f>
        <v>11</v>
      </c>
      <c r="D14" s="92">
        <f>dados_icms!D14</f>
        <v>43040</v>
      </c>
      <c r="E14" s="106">
        <f>ABS(SUMPRODUCT(dados_icms!E:E,-(dados_icms!$B:$B=$B14),-(dados_icms!$C:$C&lt;=$C14)))</f>
        <v>5473925.5800000001</v>
      </c>
      <c r="F14" s="106">
        <f>ABS(SUMPRODUCT(dados_icms!F:F,-(dados_icms!$B:$B=$B14),-(dados_icms!$C:$C&lt;=$C14)))</f>
        <v>720473975.58000016</v>
      </c>
      <c r="G14" s="106">
        <f>ABS(SUMPRODUCT(dados_icms!G:G,-(dados_icms!$B:$B=$B14),-(dados_icms!$C:$C&lt;=$C14)))</f>
        <v>7875267744.869998</v>
      </c>
      <c r="H14" s="106">
        <f>ABS(SUMPRODUCT(dados_icms!H:H,-(dados_icms!$B:$B=$B14),-(dados_icms!$C:$C&lt;=$C14)))</f>
        <v>5122398438.2300005</v>
      </c>
      <c r="I14" s="106">
        <f>ABS(SUMPRODUCT(dados_icms!I:I,-(dados_icms!$B:$B=$B14),-(dados_icms!$C:$C&lt;=$C14)))</f>
        <v>16129250.710000001</v>
      </c>
      <c r="J14" s="106">
        <f>ABS(SUMPRODUCT(dados_icms!J:J,-(dados_icms!$B:$B=$B14),-(dados_icms!$C:$C&lt;=$C14)))</f>
        <v>46750710.610000007</v>
      </c>
      <c r="K14" s="106">
        <f>ABS(SUMPRODUCT(dados_icms!K:K,-(dados_icms!$B:$B=$B14),-(dados_icms!$C:$C&lt;=$C14)))</f>
        <v>10005190705.76</v>
      </c>
      <c r="L14" s="106">
        <f>ABS(SUMPRODUCT(dados_icms!L:L,-(dados_icms!$B:$B=$B14),-(dados_icms!$C:$C&lt;=$C14)))</f>
        <v>782907553.15999997</v>
      </c>
      <c r="M14" s="106">
        <f>ABS(SUMPRODUCT(dados_icms!M:M,-(dados_icms!$B:$B=$B14),-(dados_icms!$C:$C&lt;=$C14)))</f>
        <v>389425539.01999998</v>
      </c>
      <c r="N14" s="106">
        <f>ABS(SUMPRODUCT(dados_icms!N:N,-(dados_icms!$B:$B=$B14),-(dados_icms!$C:$C&lt;=$C14)))</f>
        <v>3725044555.4999995</v>
      </c>
      <c r="O14" s="106">
        <f>ABS(SUMPRODUCT(dados_icms!O:O,-(dados_icms!$B:$B=$B14),-(dados_icms!$C:$C&lt;=$C14)))</f>
        <v>2389030.86</v>
      </c>
      <c r="P14" s="106">
        <f>ABS(SUMPRODUCT(dados_icms!P:P,-(dados_icms!$B:$B=$B14),-(dados_icms!$C:$C&lt;=$C14)))</f>
        <v>136449.19999999998</v>
      </c>
      <c r="Q14" s="106">
        <f>ABS(SUMPRODUCT(dados_icms!Q:Q,-(dados_icms!$B:$B=$B14),-(dados_icms!$C:$C&lt;=$C14)))</f>
        <v>50124597.890000001</v>
      </c>
      <c r="R14" s="106">
        <f>ABS(SUMPRODUCT(dados_icms!R:R,-(dados_icms!$B:$B=$B14),-(dados_icms!$C:$C&lt;=$C14)))</f>
        <v>43086618.95000001</v>
      </c>
      <c r="S14" s="106">
        <f>ABS(SUMPRODUCT(dados_icms!S:S,-(dados_icms!$B:$B=$B14),-(dados_icms!$C:$C&lt;=$C14)))</f>
        <v>3870854.2299999995</v>
      </c>
      <c r="T14" s="106">
        <f>ABS(SUMPRODUCT(dados_icms!T:T,-(dados_icms!$B:$B=$B14),-(dados_icms!$C:$C&lt;=$C14)))</f>
        <v>1405165.21</v>
      </c>
      <c r="U14" s="106">
        <f>ABS(SUMPRODUCT(dados_icms!U:U,-(dados_icms!$B:$B=$B14),-(dados_icms!$C:$C&lt;=$C14)))</f>
        <v>837676.37000000011</v>
      </c>
      <c r="V14" s="106">
        <f>ABS(SUMPRODUCT(dados_icms!V:V,-(dados_icms!$B:$B=$B14),-(dados_icms!$C:$C&lt;=$C14)))</f>
        <v>3974642.42</v>
      </c>
      <c r="W14" s="106">
        <f>ABS(SUMPRODUCT(dados_icms!W:W,-(dados_icms!$B:$B=$B14),-(dados_icms!$C:$C&lt;=$C14)))</f>
        <v>17850352.819999997</v>
      </c>
      <c r="X14" s="106">
        <f>ABS(SUMPRODUCT(dados_icms!X:X,-(dados_icms!$B:$B=$B14),-(dados_icms!$C:$C&lt;=$C14)))</f>
        <v>28812737786.970005</v>
      </c>
    </row>
    <row r="15" spans="1:24" x14ac:dyDescent="0.2">
      <c r="A15" s="8" t="str">
        <f>dados_icms!A15</f>
        <v>201712</v>
      </c>
      <c r="B15" s="8">
        <f>dados_icms!B15</f>
        <v>2017</v>
      </c>
      <c r="C15" s="8">
        <f>dados_icms!C15</f>
        <v>12</v>
      </c>
      <c r="D15" s="92">
        <f>dados_icms!D15</f>
        <v>43070</v>
      </c>
      <c r="E15" s="106">
        <f>ABS(SUMPRODUCT(dados_icms!E:E,-(dados_icms!$B:$B=$B15),-(dados_icms!$C:$C&lt;=$C15)))</f>
        <v>5846800.4000000004</v>
      </c>
      <c r="F15" s="106">
        <f>ABS(SUMPRODUCT(dados_icms!F:F,-(dados_icms!$B:$B=$B15),-(dados_icms!$C:$C&lt;=$C15)))</f>
        <v>859199325.13000011</v>
      </c>
      <c r="G15" s="106">
        <f>ABS(SUMPRODUCT(dados_icms!G:G,-(dados_icms!$B:$B=$B15),-(dados_icms!$C:$C&lt;=$C15)))</f>
        <v>8667788583.5099983</v>
      </c>
      <c r="H15" s="106">
        <f>ABS(SUMPRODUCT(dados_icms!H:H,-(dados_icms!$B:$B=$B15),-(dados_icms!$C:$C&lt;=$C15)))</f>
        <v>5717347686.8000002</v>
      </c>
      <c r="I15" s="106">
        <f>ABS(SUMPRODUCT(dados_icms!I:I,-(dados_icms!$B:$B=$B15),-(dados_icms!$C:$C&lt;=$C15)))</f>
        <v>17658014.199999999</v>
      </c>
      <c r="J15" s="106">
        <f>ABS(SUMPRODUCT(dados_icms!J:J,-(dados_icms!$B:$B=$B15),-(dados_icms!$C:$C&lt;=$C15)))</f>
        <v>50588292.960000008</v>
      </c>
      <c r="K15" s="106">
        <f>ABS(SUMPRODUCT(dados_icms!K:K,-(dados_icms!$B:$B=$B15),-(dados_icms!$C:$C&lt;=$C15)))</f>
        <v>11018041967.129999</v>
      </c>
      <c r="L15" s="106">
        <f>ABS(SUMPRODUCT(dados_icms!L:L,-(dados_icms!$B:$B=$B15),-(dados_icms!$C:$C&lt;=$C15)))</f>
        <v>855094814.38</v>
      </c>
      <c r="M15" s="106">
        <f>ABS(SUMPRODUCT(dados_icms!M:M,-(dados_icms!$B:$B=$B15),-(dados_icms!$C:$C&lt;=$C15)))</f>
        <v>425715103.25</v>
      </c>
      <c r="N15" s="106">
        <f>ABS(SUMPRODUCT(dados_icms!N:N,-(dados_icms!$B:$B=$B15),-(dados_icms!$C:$C&lt;=$C15)))</f>
        <v>4151579002.8399997</v>
      </c>
      <c r="O15" s="106">
        <f>ABS(SUMPRODUCT(dados_icms!O:O,-(dados_icms!$B:$B=$B15),-(dados_icms!$C:$C&lt;=$C15)))</f>
        <v>2591397.42</v>
      </c>
      <c r="P15" s="106">
        <f>ABS(SUMPRODUCT(dados_icms!P:P,-(dados_icms!$B:$B=$B15),-(dados_icms!$C:$C&lt;=$C15)))</f>
        <v>142896.44999999998</v>
      </c>
      <c r="Q15" s="106">
        <f>ABS(SUMPRODUCT(dados_icms!Q:Q,-(dados_icms!$B:$B=$B15),-(dados_icms!$C:$C&lt;=$C15)))</f>
        <v>53525489.390000001</v>
      </c>
      <c r="R15" s="106">
        <f>ABS(SUMPRODUCT(dados_icms!R:R,-(dados_icms!$B:$B=$B15),-(dados_icms!$C:$C&lt;=$C15)))</f>
        <v>48720571.680000007</v>
      </c>
      <c r="S15" s="106">
        <f>ABS(SUMPRODUCT(dados_icms!S:S,-(dados_icms!$B:$B=$B15),-(dados_icms!$C:$C&lt;=$C15)))</f>
        <v>4175968.7699999996</v>
      </c>
      <c r="T15" s="106">
        <f>ABS(SUMPRODUCT(dados_icms!T:T,-(dados_icms!$B:$B=$B15),-(dados_icms!$C:$C&lt;=$C15)))</f>
        <v>1535855.8499999999</v>
      </c>
      <c r="U15" s="106">
        <f>ABS(SUMPRODUCT(dados_icms!U:U,-(dados_icms!$B:$B=$B15),-(dados_icms!$C:$C&lt;=$C15)))</f>
        <v>901058.10000000009</v>
      </c>
      <c r="V15" s="106">
        <f>ABS(SUMPRODUCT(dados_icms!V:V,-(dados_icms!$B:$B=$B15),-(dados_icms!$C:$C&lt;=$C15)))</f>
        <v>4289814.53</v>
      </c>
      <c r="W15" s="106">
        <f>ABS(SUMPRODUCT(dados_icms!W:W,-(dados_icms!$B:$B=$B15),-(dados_icms!$C:$C&lt;=$C15)))</f>
        <v>20580346.929999996</v>
      </c>
      <c r="X15" s="106">
        <f>ABS(SUMPRODUCT(dados_icms!X:X,-(dados_icms!$B:$B=$B15),-(dados_icms!$C:$C&lt;=$C15)))</f>
        <v>31905322989.720005</v>
      </c>
    </row>
    <row r="16" spans="1:24" x14ac:dyDescent="0.2">
      <c r="A16" s="8" t="str">
        <f>dados_icms!A16</f>
        <v>20181</v>
      </c>
      <c r="B16" s="8">
        <f>dados_icms!B16</f>
        <v>2018</v>
      </c>
      <c r="C16" s="8">
        <f>dados_icms!C16</f>
        <v>1</v>
      </c>
      <c r="D16" s="92">
        <f>dados_icms!D16</f>
        <v>43101</v>
      </c>
      <c r="E16" s="106">
        <f>ABS(SUMPRODUCT(dados_icms!E:E,-(dados_icms!$B:$B=$B16),-(dados_icms!$C:$C&lt;=$C16)))</f>
        <v>1176176.73</v>
      </c>
      <c r="F16" s="106">
        <f>ABS(SUMPRODUCT(dados_icms!F:F,-(dados_icms!$B:$B=$B16),-(dados_icms!$C:$C&lt;=$C16)))</f>
        <v>49921864.579999998</v>
      </c>
      <c r="G16" s="106">
        <f>ABS(SUMPRODUCT(dados_icms!G:G,-(dados_icms!$B:$B=$B16),-(dados_icms!$C:$C&lt;=$C16)))</f>
        <v>799581084.05000019</v>
      </c>
      <c r="H16" s="106">
        <f>ABS(SUMPRODUCT(dados_icms!H:H,-(dados_icms!$B:$B=$B16),-(dados_icms!$C:$C&lt;=$C16)))</f>
        <v>527091971.75999999</v>
      </c>
      <c r="I16" s="106">
        <f>ABS(SUMPRODUCT(dados_icms!I:I,-(dados_icms!$B:$B=$B16),-(dados_icms!$C:$C&lt;=$C16)))</f>
        <v>1668960.32</v>
      </c>
      <c r="J16" s="106">
        <f>ABS(SUMPRODUCT(dados_icms!J:J,-(dados_icms!$B:$B=$B16),-(dados_icms!$C:$C&lt;=$C16)))</f>
        <v>3135366.22</v>
      </c>
      <c r="K16" s="106">
        <f>ABS(SUMPRODUCT(dados_icms!K:K,-(dados_icms!$B:$B=$B16),-(dados_icms!$C:$C&lt;=$C16)))</f>
        <v>1188087294.349999</v>
      </c>
      <c r="L16" s="106">
        <f>ABS(SUMPRODUCT(dados_icms!L:L,-(dados_icms!$B:$B=$B16),-(dados_icms!$C:$C&lt;=$C16)))</f>
        <v>77245646.23999998</v>
      </c>
      <c r="M16" s="106">
        <f>ABS(SUMPRODUCT(dados_icms!M:M,-(dados_icms!$B:$B=$B16),-(dados_icms!$C:$C&lt;=$C16)))</f>
        <v>41588948.829999998</v>
      </c>
      <c r="N16" s="106">
        <f>ABS(SUMPRODUCT(dados_icms!N:N,-(dados_icms!$B:$B=$B16),-(dados_icms!$C:$C&lt;=$C16)))</f>
        <v>303275920.94999993</v>
      </c>
      <c r="O16" s="106">
        <f>ABS(SUMPRODUCT(dados_icms!O:O,-(dados_icms!$B:$B=$B16),-(dados_icms!$C:$C&lt;=$C16)))</f>
        <v>227463.45999999996</v>
      </c>
      <c r="P16" s="106">
        <f>ABS(SUMPRODUCT(dados_icms!P:P,-(dados_icms!$B:$B=$B16),-(dados_icms!$C:$C&lt;=$C16)))</f>
        <v>10551.94</v>
      </c>
      <c r="Q16" s="106">
        <f>ABS(SUMPRODUCT(dados_icms!Q:Q,-(dados_icms!$B:$B=$B16),-(dados_icms!$C:$C&lt;=$C16)))</f>
        <v>4999227.08</v>
      </c>
      <c r="R16" s="106">
        <f>ABS(SUMPRODUCT(dados_icms!R:R,-(dados_icms!$B:$B=$B16),-(dados_icms!$C:$C&lt;=$C16)))</f>
        <v>5902744.4400000013</v>
      </c>
      <c r="S16" s="106">
        <f>ABS(SUMPRODUCT(dados_icms!S:S,-(dados_icms!$B:$B=$B16),-(dados_icms!$C:$C&lt;=$C16)))</f>
        <v>157288.79</v>
      </c>
      <c r="T16" s="106">
        <f>ABS(SUMPRODUCT(dados_icms!T:T,-(dados_icms!$B:$B=$B16),-(dados_icms!$C:$C&lt;=$C16)))</f>
        <v>149819.82</v>
      </c>
      <c r="U16" s="106">
        <f>ABS(SUMPRODUCT(dados_icms!U:U,-(dados_icms!$B:$B=$B16),-(dados_icms!$C:$C&lt;=$C16)))</f>
        <v>24649.47</v>
      </c>
      <c r="V16" s="106">
        <f>ABS(SUMPRODUCT(dados_icms!V:V,-(dados_icms!$B:$B=$B16),-(dados_icms!$C:$C&lt;=$C16)))</f>
        <v>389030.25000000006</v>
      </c>
      <c r="W16" s="106">
        <f>ABS(SUMPRODUCT(dados_icms!W:W,-(dados_icms!$B:$B=$B16),-(dados_icms!$C:$C&lt;=$C16)))</f>
        <v>1269438.5999999996</v>
      </c>
      <c r="X16" s="106">
        <f>ABS(SUMPRODUCT(dados_icms!X:X,-(dados_icms!$B:$B=$B16),-(dados_icms!$C:$C&lt;=$C16)))</f>
        <v>3005903447.8799987</v>
      </c>
    </row>
    <row r="17" spans="1:24" x14ac:dyDescent="0.2">
      <c r="A17" s="8" t="str">
        <f>dados_icms!A17</f>
        <v>20182</v>
      </c>
      <c r="B17" s="8">
        <f>dados_icms!B17</f>
        <v>2018</v>
      </c>
      <c r="C17" s="8">
        <f>dados_icms!C17</f>
        <v>2</v>
      </c>
      <c r="D17" s="92">
        <f>dados_icms!D17</f>
        <v>43132</v>
      </c>
      <c r="E17" s="106">
        <f>ABS(SUMPRODUCT(dados_icms!E:E,-(dados_icms!$B:$B=$B17),-(dados_icms!$C:$C&lt;=$C17)))</f>
        <v>1817265.96</v>
      </c>
      <c r="F17" s="106">
        <f>ABS(SUMPRODUCT(dados_icms!F:F,-(dados_icms!$B:$B=$B17),-(dados_icms!$C:$C&lt;=$C17)))</f>
        <v>299165948.78999996</v>
      </c>
      <c r="G17" s="106">
        <f>ABS(SUMPRODUCT(dados_icms!G:G,-(dados_icms!$B:$B=$B17),-(dados_icms!$C:$C&lt;=$C17)))</f>
        <v>1507598793.1199999</v>
      </c>
      <c r="H17" s="106">
        <f>ABS(SUMPRODUCT(dados_icms!H:H,-(dados_icms!$B:$B=$B17),-(dados_icms!$C:$C&lt;=$C17)))</f>
        <v>1063299027.6600001</v>
      </c>
      <c r="I17" s="106">
        <f>ABS(SUMPRODUCT(dados_icms!I:I,-(dados_icms!$B:$B=$B17),-(dados_icms!$C:$C&lt;=$C17)))</f>
        <v>3702310.9899999998</v>
      </c>
      <c r="J17" s="106">
        <f>ABS(SUMPRODUCT(dados_icms!J:J,-(dados_icms!$B:$B=$B17),-(dados_icms!$C:$C&lt;=$C17)))</f>
        <v>5662015.209999999</v>
      </c>
      <c r="K17" s="106">
        <f>ABS(SUMPRODUCT(dados_icms!K:K,-(dados_icms!$B:$B=$B17),-(dados_icms!$C:$C&lt;=$C17)))</f>
        <v>2126546368.6699991</v>
      </c>
      <c r="L17" s="106">
        <f>ABS(SUMPRODUCT(dados_icms!L:L,-(dados_icms!$B:$B=$B17),-(dados_icms!$C:$C&lt;=$C17)))</f>
        <v>152641805.19</v>
      </c>
      <c r="M17" s="106">
        <f>ABS(SUMPRODUCT(dados_icms!M:M,-(dados_icms!$B:$B=$B17),-(dados_icms!$C:$C&lt;=$C17)))</f>
        <v>79978537.340000004</v>
      </c>
      <c r="N17" s="106">
        <f>ABS(SUMPRODUCT(dados_icms!N:N,-(dados_icms!$B:$B=$B17),-(dados_icms!$C:$C&lt;=$C17)))</f>
        <v>605414635.51999974</v>
      </c>
      <c r="O17" s="106">
        <f>ABS(SUMPRODUCT(dados_icms!O:O,-(dados_icms!$B:$B=$B17),-(dados_icms!$C:$C&lt;=$C17)))</f>
        <v>458289.23999999993</v>
      </c>
      <c r="P17" s="106">
        <f>ABS(SUMPRODUCT(dados_icms!P:P,-(dados_icms!$B:$B=$B17),-(dados_icms!$C:$C&lt;=$C17)))</f>
        <v>16584.75</v>
      </c>
      <c r="Q17" s="106">
        <f>ABS(SUMPRODUCT(dados_icms!Q:Q,-(dados_icms!$B:$B=$B17),-(dados_icms!$C:$C&lt;=$C17)))</f>
        <v>9257873.7300000004</v>
      </c>
      <c r="R17" s="106">
        <f>ABS(SUMPRODUCT(dados_icms!R:R,-(dados_icms!$B:$B=$B17),-(dados_icms!$C:$C&lt;=$C17)))</f>
        <v>9399053.2699999996</v>
      </c>
      <c r="S17" s="106">
        <f>ABS(SUMPRODUCT(dados_icms!S:S,-(dados_icms!$B:$B=$B17),-(dados_icms!$C:$C&lt;=$C17)))</f>
        <v>162184.09</v>
      </c>
      <c r="T17" s="106">
        <f>ABS(SUMPRODUCT(dados_icms!T:T,-(dados_icms!$B:$B=$B17),-(dados_icms!$C:$C&lt;=$C17)))</f>
        <v>427460.16000000003</v>
      </c>
      <c r="U17" s="106">
        <f>ABS(SUMPRODUCT(dados_icms!U:U,-(dados_icms!$B:$B=$B17),-(dados_icms!$C:$C&lt;=$C17)))</f>
        <v>43134.239999999998</v>
      </c>
      <c r="V17" s="106">
        <f>ABS(SUMPRODUCT(dados_icms!V:V,-(dados_icms!$B:$B=$B17),-(dados_icms!$C:$C&lt;=$C17)))</f>
        <v>905699.94</v>
      </c>
      <c r="W17" s="106">
        <f>ABS(SUMPRODUCT(dados_icms!W:W,-(dados_icms!$B:$B=$B17),-(dados_icms!$C:$C&lt;=$C17)))</f>
        <v>2686406.8999999994</v>
      </c>
      <c r="X17" s="106">
        <f>ABS(SUMPRODUCT(dados_icms!X:X,-(dados_icms!$B:$B=$B17),-(dados_icms!$C:$C&lt;=$C17)))</f>
        <v>5869183394.7699995</v>
      </c>
    </row>
    <row r="18" spans="1:24" x14ac:dyDescent="0.2">
      <c r="A18" s="8" t="str">
        <f>dados_icms!A18</f>
        <v>20183</v>
      </c>
      <c r="B18" s="8">
        <f>dados_icms!B18</f>
        <v>2018</v>
      </c>
      <c r="C18" s="8">
        <f>dados_icms!C18</f>
        <v>3</v>
      </c>
      <c r="D18" s="92">
        <f>dados_icms!D18</f>
        <v>43160</v>
      </c>
      <c r="E18" s="106">
        <f>ABS(SUMPRODUCT(dados_icms!E:E,-(dados_icms!$B:$B=$B18),-(dados_icms!$C:$C&lt;=$C18)))</f>
        <v>2090226.77</v>
      </c>
      <c r="F18" s="106">
        <f>ABS(SUMPRODUCT(dados_icms!F:F,-(dados_icms!$B:$B=$B18),-(dados_icms!$C:$C&lt;=$C18)))</f>
        <v>341373966.94999999</v>
      </c>
      <c r="G18" s="106">
        <f>ABS(SUMPRODUCT(dados_icms!G:G,-(dados_icms!$B:$B=$B18),-(dados_icms!$C:$C&lt;=$C18)))</f>
        <v>2254609594.1200004</v>
      </c>
      <c r="H18" s="106">
        <f>ABS(SUMPRODUCT(dados_icms!H:H,-(dados_icms!$B:$B=$B18),-(dados_icms!$C:$C&lt;=$C18)))</f>
        <v>1604347787.7600002</v>
      </c>
      <c r="I18" s="106">
        <f>ABS(SUMPRODUCT(dados_icms!I:I,-(dados_icms!$B:$B=$B18),-(dados_icms!$C:$C&lt;=$C18)))</f>
        <v>5490263.8499999996</v>
      </c>
      <c r="J18" s="106">
        <f>ABS(SUMPRODUCT(dados_icms!J:J,-(dados_icms!$B:$B=$B18),-(dados_icms!$C:$C&lt;=$C18)))</f>
        <v>7886665.8100000005</v>
      </c>
      <c r="K18" s="106">
        <f>ABS(SUMPRODUCT(dados_icms!K:K,-(dados_icms!$B:$B=$B18),-(dados_icms!$C:$C&lt;=$C18)))</f>
        <v>3059399346.3099995</v>
      </c>
      <c r="L18" s="106">
        <f>ABS(SUMPRODUCT(dados_icms!L:L,-(dados_icms!$B:$B=$B18),-(dados_icms!$C:$C&lt;=$C18)))</f>
        <v>219938898.31</v>
      </c>
      <c r="M18" s="106">
        <f>ABS(SUMPRODUCT(dados_icms!M:M,-(dados_icms!$B:$B=$B18),-(dados_icms!$C:$C&lt;=$C18)))</f>
        <v>112801268.83000001</v>
      </c>
      <c r="N18" s="106">
        <f>ABS(SUMPRODUCT(dados_icms!N:N,-(dados_icms!$B:$B=$B18),-(dados_icms!$C:$C&lt;=$C18)))</f>
        <v>907687341.10999966</v>
      </c>
      <c r="O18" s="106">
        <f>ABS(SUMPRODUCT(dados_icms!O:O,-(dados_icms!$B:$B=$B18),-(dados_icms!$C:$C&lt;=$C18)))</f>
        <v>709032.29</v>
      </c>
      <c r="P18" s="106">
        <f>ABS(SUMPRODUCT(dados_icms!P:P,-(dados_icms!$B:$B=$B18),-(dados_icms!$C:$C&lt;=$C18)))</f>
        <v>43343.42</v>
      </c>
      <c r="Q18" s="106">
        <f>ABS(SUMPRODUCT(dados_icms!Q:Q,-(dados_icms!$B:$B=$B18),-(dados_icms!$C:$C&lt;=$C18)))</f>
        <v>14147839.949999999</v>
      </c>
      <c r="R18" s="106">
        <f>ABS(SUMPRODUCT(dados_icms!R:R,-(dados_icms!$B:$B=$B18),-(dados_icms!$C:$C&lt;=$C18)))</f>
        <v>13603178.789999999</v>
      </c>
      <c r="S18" s="106">
        <f>ABS(SUMPRODUCT(dados_icms!S:S,-(dados_icms!$B:$B=$B18),-(dados_icms!$C:$C&lt;=$C18)))</f>
        <v>170061.69</v>
      </c>
      <c r="T18" s="106">
        <f>ABS(SUMPRODUCT(dados_icms!T:T,-(dados_icms!$B:$B=$B18),-(dados_icms!$C:$C&lt;=$C18)))</f>
        <v>632132.87000000011</v>
      </c>
      <c r="U18" s="106">
        <f>ABS(SUMPRODUCT(dados_icms!U:U,-(dados_icms!$B:$B=$B18),-(dados_icms!$C:$C&lt;=$C18)))</f>
        <v>68705.72</v>
      </c>
      <c r="V18" s="106">
        <f>ABS(SUMPRODUCT(dados_icms!V:V,-(dados_icms!$B:$B=$B18),-(dados_icms!$C:$C&lt;=$C18)))</f>
        <v>1179242.26</v>
      </c>
      <c r="W18" s="106">
        <f>ABS(SUMPRODUCT(dados_icms!W:W,-(dados_icms!$B:$B=$B18),-(dados_icms!$C:$C&lt;=$C18)))</f>
        <v>4179773.1999999993</v>
      </c>
      <c r="X18" s="106">
        <f>ABS(SUMPRODUCT(dados_icms!X:X,-(dados_icms!$B:$B=$B18),-(dados_icms!$C:$C&lt;=$C18)))</f>
        <v>8550358670.0100002</v>
      </c>
    </row>
    <row r="19" spans="1:24" x14ac:dyDescent="0.2">
      <c r="A19" s="8" t="str">
        <f>dados_icms!A19</f>
        <v>20184</v>
      </c>
      <c r="B19" s="8">
        <f>dados_icms!B19</f>
        <v>2018</v>
      </c>
      <c r="C19" s="8">
        <f>dados_icms!C19</f>
        <v>4</v>
      </c>
      <c r="D19" s="92">
        <f>dados_icms!D19</f>
        <v>43191</v>
      </c>
      <c r="E19" s="106">
        <f>ABS(SUMPRODUCT(dados_icms!E:E,-(dados_icms!$B:$B=$B19),-(dados_icms!$C:$C&lt;=$C19)))</f>
        <v>2453982.36</v>
      </c>
      <c r="F19" s="106">
        <f>ABS(SUMPRODUCT(dados_icms!F:F,-(dados_icms!$B:$B=$B19),-(dados_icms!$C:$C&lt;=$C19)))</f>
        <v>394824057.73000002</v>
      </c>
      <c r="G19" s="106">
        <f>ABS(SUMPRODUCT(dados_icms!G:G,-(dados_icms!$B:$B=$B19),-(dados_icms!$C:$C&lt;=$C19)))</f>
        <v>2999622345.2200012</v>
      </c>
      <c r="H19" s="106">
        <f>ABS(SUMPRODUCT(dados_icms!H:H,-(dados_icms!$B:$B=$B19),-(dados_icms!$C:$C&lt;=$C19)))</f>
        <v>2166882665.6000004</v>
      </c>
      <c r="I19" s="106">
        <f>ABS(SUMPRODUCT(dados_icms!I:I,-(dados_icms!$B:$B=$B19),-(dados_icms!$C:$C&lt;=$C19)))</f>
        <v>7382431.2199999988</v>
      </c>
      <c r="J19" s="106">
        <f>ABS(SUMPRODUCT(dados_icms!J:J,-(dados_icms!$B:$B=$B19),-(dados_icms!$C:$C&lt;=$C19)))</f>
        <v>11502775.83</v>
      </c>
      <c r="K19" s="106">
        <f>ABS(SUMPRODUCT(dados_icms!K:K,-(dados_icms!$B:$B=$B19),-(dados_icms!$C:$C&lt;=$C19)))</f>
        <v>4002325677.5499992</v>
      </c>
      <c r="L19" s="106">
        <f>ABS(SUMPRODUCT(dados_icms!L:L,-(dados_icms!$B:$B=$B19),-(dados_icms!$C:$C&lt;=$C19)))</f>
        <v>299293942.49000001</v>
      </c>
      <c r="M19" s="106">
        <f>ABS(SUMPRODUCT(dados_icms!M:M,-(dados_icms!$B:$B=$B19),-(dados_icms!$C:$C&lt;=$C19)))</f>
        <v>148907570.87</v>
      </c>
      <c r="N19" s="106">
        <f>ABS(SUMPRODUCT(dados_icms!N:N,-(dados_icms!$B:$B=$B19),-(dados_icms!$C:$C&lt;=$C19)))</f>
        <v>1216874368.4199998</v>
      </c>
      <c r="O19" s="106">
        <f>ABS(SUMPRODUCT(dados_icms!O:O,-(dados_icms!$B:$B=$B19),-(dados_icms!$C:$C&lt;=$C19)))</f>
        <v>961195.57000000007</v>
      </c>
      <c r="P19" s="106">
        <f>ABS(SUMPRODUCT(dados_icms!P:P,-(dados_icms!$B:$B=$B19),-(dados_icms!$C:$C&lt;=$C19)))</f>
        <v>109911.88</v>
      </c>
      <c r="Q19" s="106">
        <f>ABS(SUMPRODUCT(dados_icms!Q:Q,-(dados_icms!$B:$B=$B19),-(dados_icms!$C:$C&lt;=$C19)))</f>
        <v>18899061.93</v>
      </c>
      <c r="R19" s="106">
        <f>ABS(SUMPRODUCT(dados_icms!R:R,-(dados_icms!$B:$B=$B19),-(dados_icms!$C:$C&lt;=$C19)))</f>
        <v>17885226.779999997</v>
      </c>
      <c r="S19" s="106">
        <f>ABS(SUMPRODUCT(dados_icms!S:S,-(dados_icms!$B:$B=$B19),-(dados_icms!$C:$C&lt;=$C19)))</f>
        <v>188544.56</v>
      </c>
      <c r="T19" s="106">
        <f>ABS(SUMPRODUCT(dados_icms!T:T,-(dados_icms!$B:$B=$B19),-(dados_icms!$C:$C&lt;=$C19)))</f>
        <v>795295.52000000014</v>
      </c>
      <c r="U19" s="106">
        <f>ABS(SUMPRODUCT(dados_icms!U:U,-(dados_icms!$B:$B=$B19),-(dados_icms!$C:$C&lt;=$C19)))</f>
        <v>99869.86</v>
      </c>
      <c r="V19" s="106">
        <f>ABS(SUMPRODUCT(dados_icms!V:V,-(dados_icms!$B:$B=$B19),-(dados_icms!$C:$C&lt;=$C19)))</f>
        <v>1495040.8199999998</v>
      </c>
      <c r="W19" s="106">
        <f>ABS(SUMPRODUCT(dados_icms!W:W,-(dados_icms!$B:$B=$B19),-(dados_icms!$C:$C&lt;=$C19)))</f>
        <v>5433150.8299999991</v>
      </c>
      <c r="X19" s="106">
        <f>ABS(SUMPRODUCT(dados_icms!X:X,-(dados_icms!$B:$B=$B19),-(dados_icms!$C:$C&lt;=$C19)))</f>
        <v>11295937115.040001</v>
      </c>
    </row>
    <row r="20" spans="1:24" x14ac:dyDescent="0.2">
      <c r="A20" s="8" t="str">
        <f>dados_icms!A20</f>
        <v>20185</v>
      </c>
      <c r="B20" s="8">
        <f>dados_icms!B20</f>
        <v>2018</v>
      </c>
      <c r="C20" s="8">
        <f>dados_icms!C20</f>
        <v>5</v>
      </c>
      <c r="D20" s="92">
        <f>dados_icms!D20</f>
        <v>43221</v>
      </c>
      <c r="E20" s="106">
        <f>ABS(SUMPRODUCT(dados_icms!E:E,-(dados_icms!$B:$B=$B20),-(dados_icms!$C:$C&lt;=$C20)))</f>
        <v>3262251.19</v>
      </c>
      <c r="F20" s="106">
        <f>ABS(SUMPRODUCT(dados_icms!F:F,-(dados_icms!$B:$B=$B20),-(dados_icms!$C:$C&lt;=$C20)))</f>
        <v>511425455.81999999</v>
      </c>
      <c r="G20" s="106">
        <f>ABS(SUMPRODUCT(dados_icms!G:G,-(dados_icms!$B:$B=$B20),-(dados_icms!$C:$C&lt;=$C20)))</f>
        <v>3992613534.4700022</v>
      </c>
      <c r="H20" s="106">
        <f>ABS(SUMPRODUCT(dados_icms!H:H,-(dados_icms!$B:$B=$B20),-(dados_icms!$C:$C&lt;=$C20)))</f>
        <v>2764316299.8500004</v>
      </c>
      <c r="I20" s="106">
        <f>ABS(SUMPRODUCT(dados_icms!I:I,-(dados_icms!$B:$B=$B20),-(dados_icms!$C:$C&lt;=$C20)))</f>
        <v>9208081.1099999994</v>
      </c>
      <c r="J20" s="106">
        <f>ABS(SUMPRODUCT(dados_icms!J:J,-(dados_icms!$B:$B=$B20),-(dados_icms!$C:$C&lt;=$C20)))</f>
        <v>15180685.66</v>
      </c>
      <c r="K20" s="106">
        <f>ABS(SUMPRODUCT(dados_icms!K:K,-(dados_icms!$B:$B=$B20),-(dados_icms!$C:$C&lt;=$C20)))</f>
        <v>4827523093.2699986</v>
      </c>
      <c r="L20" s="106">
        <f>ABS(SUMPRODUCT(dados_icms!L:L,-(dados_icms!$B:$B=$B20),-(dados_icms!$C:$C&lt;=$C20)))</f>
        <v>377485937.64000005</v>
      </c>
      <c r="M20" s="106">
        <f>ABS(SUMPRODUCT(dados_icms!M:M,-(dados_icms!$B:$B=$B20),-(dados_icms!$C:$C&lt;=$C20)))</f>
        <v>183286388.83000001</v>
      </c>
      <c r="N20" s="106">
        <f>ABS(SUMPRODUCT(dados_icms!N:N,-(dados_icms!$B:$B=$B20),-(dados_icms!$C:$C&lt;=$C20)))</f>
        <v>1512250971.1599998</v>
      </c>
      <c r="O20" s="106">
        <f>ABS(SUMPRODUCT(dados_icms!O:O,-(dados_icms!$B:$B=$B20),-(dados_icms!$C:$C&lt;=$C20)))</f>
        <v>989926.43</v>
      </c>
      <c r="P20" s="106">
        <f>ABS(SUMPRODUCT(dados_icms!P:P,-(dados_icms!$B:$B=$B20),-(dados_icms!$C:$C&lt;=$C20)))</f>
        <v>139085.87</v>
      </c>
      <c r="Q20" s="106">
        <f>ABS(SUMPRODUCT(dados_icms!Q:Q,-(dados_icms!$B:$B=$B20),-(dados_icms!$C:$C&lt;=$C20)))</f>
        <v>22444136.84</v>
      </c>
      <c r="R20" s="106">
        <f>ABS(SUMPRODUCT(dados_icms!R:R,-(dados_icms!$B:$B=$B20),-(dados_icms!$C:$C&lt;=$C20)))</f>
        <v>22507067.059999999</v>
      </c>
      <c r="S20" s="106">
        <f>ABS(SUMPRODUCT(dados_icms!S:S,-(dados_icms!$B:$B=$B20),-(dados_icms!$C:$C&lt;=$C20)))</f>
        <v>197491.57</v>
      </c>
      <c r="T20" s="106">
        <f>ABS(SUMPRODUCT(dados_icms!T:T,-(dados_icms!$B:$B=$B20),-(dados_icms!$C:$C&lt;=$C20)))</f>
        <v>999688.34000000008</v>
      </c>
      <c r="U20" s="106">
        <f>ABS(SUMPRODUCT(dados_icms!U:U,-(dados_icms!$B:$B=$B20),-(dados_icms!$C:$C&lt;=$C20)))</f>
        <v>150716.37</v>
      </c>
      <c r="V20" s="106">
        <f>ABS(SUMPRODUCT(dados_icms!V:V,-(dados_icms!$B:$B=$B20),-(dados_icms!$C:$C&lt;=$C20)))</f>
        <v>1806840.23</v>
      </c>
      <c r="W20" s="106">
        <f>ABS(SUMPRODUCT(dados_icms!W:W,-(dados_icms!$B:$B=$B20),-(dados_icms!$C:$C&lt;=$C20)))</f>
        <v>6490751.3899999997</v>
      </c>
      <c r="X20" s="106">
        <f>ABS(SUMPRODUCT(dados_icms!X:X,-(dados_icms!$B:$B=$B20),-(dados_icms!$C:$C&lt;=$C20)))</f>
        <v>14252278403.100002</v>
      </c>
    </row>
    <row r="21" spans="1:24" x14ac:dyDescent="0.2">
      <c r="A21" s="8" t="str">
        <f>dados_icms!A21</f>
        <v>20186</v>
      </c>
      <c r="B21" s="8">
        <f>dados_icms!B21</f>
        <v>2018</v>
      </c>
      <c r="C21" s="8">
        <f>dados_icms!C21</f>
        <v>6</v>
      </c>
      <c r="D21" s="92">
        <f>dados_icms!D21</f>
        <v>43252</v>
      </c>
      <c r="E21" s="106">
        <f>ABS(SUMPRODUCT(dados_icms!E:E,-(dados_icms!$B:$B=$B21),-(dados_icms!$C:$C&lt;=$C21)))</f>
        <v>3884553.29</v>
      </c>
      <c r="F21" s="106">
        <f>ABS(SUMPRODUCT(dados_icms!F:F,-(dados_icms!$B:$B=$B21),-(dados_icms!$C:$C&lt;=$C21)))</f>
        <v>572134144.41999996</v>
      </c>
      <c r="G21" s="106">
        <f>ABS(SUMPRODUCT(dados_icms!G:G,-(dados_icms!$B:$B=$B21),-(dados_icms!$C:$C&lt;=$C21)))</f>
        <v>4823006090.7900019</v>
      </c>
      <c r="H21" s="106">
        <f>ABS(SUMPRODUCT(dados_icms!H:H,-(dados_icms!$B:$B=$B21),-(dados_icms!$C:$C&lt;=$C21)))</f>
        <v>3324523755.1000004</v>
      </c>
      <c r="I21" s="106">
        <f>ABS(SUMPRODUCT(dados_icms!I:I,-(dados_icms!$B:$B=$B21),-(dados_icms!$C:$C&lt;=$C21)))</f>
        <v>11136246.619999999</v>
      </c>
      <c r="J21" s="106">
        <f>ABS(SUMPRODUCT(dados_icms!J:J,-(dados_icms!$B:$B=$B21),-(dados_icms!$C:$C&lt;=$C21)))</f>
        <v>19761953.199999999</v>
      </c>
      <c r="K21" s="106">
        <f>ABS(SUMPRODUCT(dados_icms!K:K,-(dados_icms!$B:$B=$B21),-(dados_icms!$C:$C&lt;=$C21)))</f>
        <v>5673532698.0099983</v>
      </c>
      <c r="L21" s="106">
        <f>ABS(SUMPRODUCT(dados_icms!L:L,-(dados_icms!$B:$B=$B21),-(dados_icms!$C:$C&lt;=$C21)))</f>
        <v>455791884.45000005</v>
      </c>
      <c r="M21" s="106">
        <f>ABS(SUMPRODUCT(dados_icms!M:M,-(dados_icms!$B:$B=$B21),-(dados_icms!$C:$C&lt;=$C21)))</f>
        <v>217160802.17000002</v>
      </c>
      <c r="N21" s="106">
        <f>ABS(SUMPRODUCT(dados_icms!N:N,-(dados_icms!$B:$B=$B21),-(dados_icms!$C:$C&lt;=$C21)))</f>
        <v>1771538452.5999999</v>
      </c>
      <c r="O21" s="106">
        <f>ABS(SUMPRODUCT(dados_icms!O:O,-(dados_icms!$B:$B=$B21),-(dados_icms!$C:$C&lt;=$C21)))</f>
        <v>1019690.5900000001</v>
      </c>
      <c r="P21" s="106">
        <f>ABS(SUMPRODUCT(dados_icms!P:P,-(dados_icms!$B:$B=$B21),-(dados_icms!$C:$C&lt;=$C21)))</f>
        <v>191957.65</v>
      </c>
      <c r="Q21" s="106">
        <f>ABS(SUMPRODUCT(dados_icms!Q:Q,-(dados_icms!$B:$B=$B21),-(dados_icms!$C:$C&lt;=$C21)))</f>
        <v>26427508.809999999</v>
      </c>
      <c r="R21" s="106">
        <f>ABS(SUMPRODUCT(dados_icms!R:R,-(dados_icms!$B:$B=$B21),-(dados_icms!$C:$C&lt;=$C21)))</f>
        <v>26975363.539999999</v>
      </c>
      <c r="S21" s="106">
        <f>ABS(SUMPRODUCT(dados_icms!S:S,-(dados_icms!$B:$B=$B21),-(dados_icms!$C:$C&lt;=$C21)))</f>
        <v>219192.64</v>
      </c>
      <c r="T21" s="106">
        <f>ABS(SUMPRODUCT(dados_icms!T:T,-(dados_icms!$B:$B=$B21),-(dados_icms!$C:$C&lt;=$C21)))</f>
        <v>1184783.96</v>
      </c>
      <c r="U21" s="106">
        <f>ABS(SUMPRODUCT(dados_icms!U:U,-(dados_icms!$B:$B=$B21),-(dados_icms!$C:$C&lt;=$C21)))</f>
        <v>224109.31</v>
      </c>
      <c r="V21" s="106">
        <f>ABS(SUMPRODUCT(dados_icms!V:V,-(dados_icms!$B:$B=$B21),-(dados_icms!$C:$C&lt;=$C21)))</f>
        <v>2118584.09</v>
      </c>
      <c r="W21" s="106">
        <f>ABS(SUMPRODUCT(dados_icms!W:W,-(dados_icms!$B:$B=$B21),-(dados_icms!$C:$C&lt;=$C21)))</f>
        <v>7548536.8200000003</v>
      </c>
      <c r="X21" s="106">
        <f>ABS(SUMPRODUCT(dados_icms!X:X,-(dados_icms!$B:$B=$B21),-(dados_icms!$C:$C&lt;=$C21)))</f>
        <v>16938380308.060001</v>
      </c>
    </row>
    <row r="22" spans="1:24" x14ac:dyDescent="0.2">
      <c r="A22" s="8" t="str">
        <f>dados_icms!A22</f>
        <v>20187</v>
      </c>
      <c r="B22" s="8">
        <f>dados_icms!B22</f>
        <v>2018</v>
      </c>
      <c r="C22" s="8">
        <f>dados_icms!C22</f>
        <v>7</v>
      </c>
      <c r="D22" s="92">
        <f>dados_icms!D22</f>
        <v>43282</v>
      </c>
      <c r="E22" s="106">
        <f>ABS(SUMPRODUCT(dados_icms!E:E,-(dados_icms!$B:$B=$B22),-(dados_icms!$C:$C&lt;=$C22)))</f>
        <v>4698741.49</v>
      </c>
      <c r="F22" s="106">
        <f>ABS(SUMPRODUCT(dados_icms!F:F,-(dados_icms!$B:$B=$B22),-(dados_icms!$C:$C&lt;=$C22)))</f>
        <v>1060770894.6800001</v>
      </c>
      <c r="G22" s="106">
        <f>ABS(SUMPRODUCT(dados_icms!G:G,-(dados_icms!$B:$B=$B22),-(dados_icms!$C:$C&lt;=$C22)))</f>
        <v>5854113607.1200018</v>
      </c>
      <c r="H22" s="106">
        <f>ABS(SUMPRODUCT(dados_icms!H:H,-(dados_icms!$B:$B=$B22),-(dados_icms!$C:$C&lt;=$C22)))</f>
        <v>3792292387.6700006</v>
      </c>
      <c r="I22" s="106">
        <f>ABS(SUMPRODUCT(dados_icms!I:I,-(dados_icms!$B:$B=$B22),-(dados_icms!$C:$C&lt;=$C22)))</f>
        <v>13212510.169999998</v>
      </c>
      <c r="J22" s="106">
        <f>ABS(SUMPRODUCT(dados_icms!J:J,-(dados_icms!$B:$B=$B22),-(dados_icms!$C:$C&lt;=$C22)))</f>
        <v>23636505.66</v>
      </c>
      <c r="K22" s="106">
        <f>ABS(SUMPRODUCT(dados_icms!K:K,-(dados_icms!$B:$B=$B22),-(dados_icms!$C:$C&lt;=$C22)))</f>
        <v>6633585221.8099985</v>
      </c>
      <c r="L22" s="106">
        <f>ABS(SUMPRODUCT(dados_icms!L:L,-(dados_icms!$B:$B=$B22),-(dados_icms!$C:$C&lt;=$C22)))</f>
        <v>544510172.74000001</v>
      </c>
      <c r="M22" s="106">
        <f>ABS(SUMPRODUCT(dados_icms!M:M,-(dados_icms!$B:$B=$B22),-(dados_icms!$C:$C&lt;=$C22)))</f>
        <v>252705013.66000003</v>
      </c>
      <c r="N22" s="106">
        <f>ABS(SUMPRODUCT(dados_icms!N:N,-(dados_icms!$B:$B=$B22),-(dados_icms!$C:$C&lt;=$C22)))</f>
        <v>2034560148.0599999</v>
      </c>
      <c r="O22" s="106">
        <f>ABS(SUMPRODUCT(dados_icms!O:O,-(dados_icms!$B:$B=$B22),-(dados_icms!$C:$C&lt;=$C22)))</f>
        <v>1053323.26</v>
      </c>
      <c r="P22" s="106">
        <f>ABS(SUMPRODUCT(dados_icms!P:P,-(dados_icms!$B:$B=$B22),-(dados_icms!$C:$C&lt;=$C22)))</f>
        <v>217902.36</v>
      </c>
      <c r="Q22" s="106">
        <f>ABS(SUMPRODUCT(dados_icms!Q:Q,-(dados_icms!$B:$B=$B22),-(dados_icms!$C:$C&lt;=$C22)))</f>
        <v>30111926.209999997</v>
      </c>
      <c r="R22" s="106">
        <f>ABS(SUMPRODUCT(dados_icms!R:R,-(dados_icms!$B:$B=$B22),-(dados_icms!$C:$C&lt;=$C22)))</f>
        <v>31723632.91</v>
      </c>
      <c r="S22" s="106">
        <f>ABS(SUMPRODUCT(dados_icms!S:S,-(dados_icms!$B:$B=$B22),-(dados_icms!$C:$C&lt;=$C22)))</f>
        <v>302473.53000000003</v>
      </c>
      <c r="T22" s="106">
        <f>ABS(SUMPRODUCT(dados_icms!T:T,-(dados_icms!$B:$B=$B22),-(dados_icms!$C:$C&lt;=$C22)))</f>
        <v>1424491.33</v>
      </c>
      <c r="U22" s="106">
        <f>ABS(SUMPRODUCT(dados_icms!U:U,-(dados_icms!$B:$B=$B22),-(dados_icms!$C:$C&lt;=$C22)))</f>
        <v>259304.9</v>
      </c>
      <c r="V22" s="106">
        <f>ABS(SUMPRODUCT(dados_icms!V:V,-(dados_icms!$B:$B=$B22),-(dados_icms!$C:$C&lt;=$C22)))</f>
        <v>2364244.33</v>
      </c>
      <c r="W22" s="106">
        <f>ABS(SUMPRODUCT(dados_icms!W:W,-(dados_icms!$B:$B=$B22),-(dados_icms!$C:$C&lt;=$C22)))</f>
        <v>8860583.5700000003</v>
      </c>
      <c r="X22" s="106">
        <f>ABS(SUMPRODUCT(dados_icms!X:X,-(dados_icms!$B:$B=$B22),-(dados_icms!$C:$C&lt;=$C22)))</f>
        <v>20290403085.459999</v>
      </c>
    </row>
    <row r="23" spans="1:24" x14ac:dyDescent="0.2">
      <c r="A23" s="8" t="str">
        <f>dados_icms!A23</f>
        <v>20188</v>
      </c>
      <c r="B23" s="8">
        <f>dados_icms!B23</f>
        <v>2018</v>
      </c>
      <c r="C23" s="8">
        <f>dados_icms!C23</f>
        <v>8</v>
      </c>
      <c r="D23" s="92">
        <f>dados_icms!D23</f>
        <v>43313</v>
      </c>
      <c r="E23" s="106">
        <f>ABS(SUMPRODUCT(dados_icms!E:E,-(dados_icms!$B:$B=$B23),-(dados_icms!$C:$C&lt;=$C23)))</f>
        <v>5821925.9699999997</v>
      </c>
      <c r="F23" s="106">
        <f>ABS(SUMPRODUCT(dados_icms!F:F,-(dados_icms!$B:$B=$B23),-(dados_icms!$C:$C&lt;=$C23)))</f>
        <v>1402780421.2</v>
      </c>
      <c r="G23" s="106">
        <f>ABS(SUMPRODUCT(dados_icms!G:G,-(dados_icms!$B:$B=$B23),-(dados_icms!$C:$C&lt;=$C23)))</f>
        <v>6835265725.1100016</v>
      </c>
      <c r="H23" s="106">
        <f>ABS(SUMPRODUCT(dados_icms!H:H,-(dados_icms!$B:$B=$B23),-(dados_icms!$C:$C&lt;=$C23)))</f>
        <v>4362398441.9700003</v>
      </c>
      <c r="I23" s="106">
        <f>ABS(SUMPRODUCT(dados_icms!I:I,-(dados_icms!$B:$B=$B23),-(dados_icms!$C:$C&lt;=$C23)))</f>
        <v>15851888.419999998</v>
      </c>
      <c r="J23" s="106">
        <f>ABS(SUMPRODUCT(dados_icms!J:J,-(dados_icms!$B:$B=$B23),-(dados_icms!$C:$C&lt;=$C23)))</f>
        <v>27438138.68</v>
      </c>
      <c r="K23" s="106">
        <f>ABS(SUMPRODUCT(dados_icms!K:K,-(dados_icms!$B:$B=$B23),-(dados_icms!$C:$C&lt;=$C23)))</f>
        <v>7509539521.3599987</v>
      </c>
      <c r="L23" s="106">
        <f>ABS(SUMPRODUCT(dados_icms!L:L,-(dados_icms!$B:$B=$B23),-(dados_icms!$C:$C&lt;=$C23)))</f>
        <v>639245413.57999992</v>
      </c>
      <c r="M23" s="106">
        <f>ABS(SUMPRODUCT(dados_icms!M:M,-(dados_icms!$B:$B=$B23),-(dados_icms!$C:$C&lt;=$C23)))</f>
        <v>289790704.08000004</v>
      </c>
      <c r="N23" s="106">
        <f>ABS(SUMPRODUCT(dados_icms!N:N,-(dados_icms!$B:$B=$B23),-(dados_icms!$C:$C&lt;=$C23)))</f>
        <v>2296858640.6100001</v>
      </c>
      <c r="O23" s="106">
        <f>ABS(SUMPRODUCT(dados_icms!O:O,-(dados_icms!$B:$B=$B23),-(dados_icms!$C:$C&lt;=$C23)))</f>
        <v>1068033.92</v>
      </c>
      <c r="P23" s="106">
        <f>ABS(SUMPRODUCT(dados_icms!P:P,-(dados_icms!$B:$B=$B23),-(dados_icms!$C:$C&lt;=$C23)))</f>
        <v>235695.65</v>
      </c>
      <c r="Q23" s="106">
        <f>ABS(SUMPRODUCT(dados_icms!Q:Q,-(dados_icms!$B:$B=$B23),-(dados_icms!$C:$C&lt;=$C23)))</f>
        <v>34860091.349999994</v>
      </c>
      <c r="R23" s="106">
        <f>ABS(SUMPRODUCT(dados_icms!R:R,-(dados_icms!$B:$B=$B23),-(dados_icms!$C:$C&lt;=$C23)))</f>
        <v>35948345</v>
      </c>
      <c r="S23" s="106">
        <f>ABS(SUMPRODUCT(dados_icms!S:S,-(dados_icms!$B:$B=$B23),-(dados_icms!$C:$C&lt;=$C23)))</f>
        <v>318442.02</v>
      </c>
      <c r="T23" s="106">
        <f>ABS(SUMPRODUCT(dados_icms!T:T,-(dados_icms!$B:$B=$B23),-(dados_icms!$C:$C&lt;=$C23)))</f>
        <v>1601084.1600000001</v>
      </c>
      <c r="U23" s="106">
        <f>ABS(SUMPRODUCT(dados_icms!U:U,-(dados_icms!$B:$B=$B23),-(dados_icms!$C:$C&lt;=$C23)))</f>
        <v>314949.02999999997</v>
      </c>
      <c r="V23" s="106">
        <f>ABS(SUMPRODUCT(dados_icms!V:V,-(dados_icms!$B:$B=$B23),-(dados_icms!$C:$C&lt;=$C23)))</f>
        <v>2754986.91</v>
      </c>
      <c r="W23" s="106">
        <f>ABS(SUMPRODUCT(dados_icms!W:W,-(dados_icms!$B:$B=$B23),-(dados_icms!$C:$C&lt;=$C23)))</f>
        <v>10550655.370000001</v>
      </c>
      <c r="X23" s="106">
        <f>ABS(SUMPRODUCT(dados_icms!X:X,-(dados_icms!$B:$B=$B23),-(dados_icms!$C:$C&lt;=$C23)))</f>
        <v>23472643104.389999</v>
      </c>
    </row>
    <row r="24" spans="1:24" x14ac:dyDescent="0.2">
      <c r="A24" s="8" t="str">
        <f>dados_icms!A24</f>
        <v>20189</v>
      </c>
      <c r="B24" s="8">
        <f>dados_icms!B24</f>
        <v>2018</v>
      </c>
      <c r="C24" s="8">
        <f>dados_icms!C24</f>
        <v>9</v>
      </c>
      <c r="D24" s="92">
        <f>dados_icms!D24</f>
        <v>43344</v>
      </c>
      <c r="E24" s="106">
        <f>ABS(SUMPRODUCT(dados_icms!E:E,-(dados_icms!$B:$B=$B24),-(dados_icms!$C:$C&lt;=$C24)))</f>
        <v>6603869</v>
      </c>
      <c r="F24" s="106">
        <f>ABS(SUMPRODUCT(dados_icms!F:F,-(dados_icms!$B:$B=$B24),-(dados_icms!$C:$C&lt;=$C24)))</f>
        <v>1473331560.29</v>
      </c>
      <c r="G24" s="106">
        <f>ABS(SUMPRODUCT(dados_icms!G:G,-(dados_icms!$B:$B=$B24),-(dados_icms!$C:$C&lt;=$C24)))</f>
        <v>7594406438.4900017</v>
      </c>
      <c r="H24" s="106">
        <f>ABS(SUMPRODUCT(dados_icms!H:H,-(dados_icms!$B:$B=$B24),-(dados_icms!$C:$C&lt;=$C24)))</f>
        <v>5033920710.9200001</v>
      </c>
      <c r="I24" s="106">
        <f>ABS(SUMPRODUCT(dados_icms!I:I,-(dados_icms!$B:$B=$B24),-(dados_icms!$C:$C&lt;=$C24)))</f>
        <v>17744058.539999999</v>
      </c>
      <c r="J24" s="106">
        <f>ABS(SUMPRODUCT(dados_icms!J:J,-(dados_icms!$B:$B=$B24),-(dados_icms!$C:$C&lt;=$C24)))</f>
        <v>30453857.399999999</v>
      </c>
      <c r="K24" s="106">
        <f>ABS(SUMPRODUCT(dados_icms!K:K,-(dados_icms!$B:$B=$B24),-(dados_icms!$C:$C&lt;=$C24)))</f>
        <v>8419105954.9599991</v>
      </c>
      <c r="L24" s="106">
        <f>ABS(SUMPRODUCT(dados_icms!L:L,-(dados_icms!$B:$B=$B24),-(dados_icms!$C:$C&lt;=$C24)))</f>
        <v>742366458.4799999</v>
      </c>
      <c r="M24" s="106">
        <f>ABS(SUMPRODUCT(dados_icms!M:M,-(dados_icms!$B:$B=$B24),-(dados_icms!$C:$C&lt;=$C24)))</f>
        <v>327797036.75000006</v>
      </c>
      <c r="N24" s="106">
        <f>ABS(SUMPRODUCT(dados_icms!N:N,-(dados_icms!$B:$B=$B24),-(dados_icms!$C:$C&lt;=$C24)))</f>
        <v>2575140964.75</v>
      </c>
      <c r="O24" s="106">
        <f>ABS(SUMPRODUCT(dados_icms!O:O,-(dados_icms!$B:$B=$B24),-(dados_icms!$C:$C&lt;=$C24)))</f>
        <v>1098048.99</v>
      </c>
      <c r="P24" s="106">
        <f>ABS(SUMPRODUCT(dados_icms!P:P,-(dados_icms!$B:$B=$B24),-(dados_icms!$C:$C&lt;=$C24)))</f>
        <v>259122.84</v>
      </c>
      <c r="Q24" s="106">
        <f>ABS(SUMPRODUCT(dados_icms!Q:Q,-(dados_icms!$B:$B=$B24),-(dados_icms!$C:$C&lt;=$C24)))</f>
        <v>38203744.339999996</v>
      </c>
      <c r="R24" s="106">
        <f>ABS(SUMPRODUCT(dados_icms!R:R,-(dados_icms!$B:$B=$B24),-(dados_icms!$C:$C&lt;=$C24)))</f>
        <v>40585356.259999998</v>
      </c>
      <c r="S24" s="106">
        <f>ABS(SUMPRODUCT(dados_icms!S:S,-(dados_icms!$B:$B=$B24),-(dados_icms!$C:$C&lt;=$C24)))</f>
        <v>329836.53000000003</v>
      </c>
      <c r="T24" s="106">
        <f>ABS(SUMPRODUCT(dados_icms!T:T,-(dados_icms!$B:$B=$B24),-(dados_icms!$C:$C&lt;=$C24)))</f>
        <v>1933031.5700000003</v>
      </c>
      <c r="U24" s="106">
        <f>ABS(SUMPRODUCT(dados_icms!U:U,-(dados_icms!$B:$B=$B24),-(dados_icms!$C:$C&lt;=$C24)))</f>
        <v>354839.62999999995</v>
      </c>
      <c r="V24" s="106">
        <f>ABS(SUMPRODUCT(dados_icms!V:V,-(dados_icms!$B:$B=$B24),-(dados_icms!$C:$C&lt;=$C24)))</f>
        <v>3077617.43</v>
      </c>
      <c r="W24" s="106">
        <f>ABS(SUMPRODUCT(dados_icms!W:W,-(dados_icms!$B:$B=$B24),-(dados_icms!$C:$C&lt;=$C24)))</f>
        <v>12587827.550000001</v>
      </c>
      <c r="X24" s="106">
        <f>ABS(SUMPRODUCT(dados_icms!X:X,-(dados_icms!$B:$B=$B24),-(dados_icms!$C:$C&lt;=$C24)))</f>
        <v>26319300334.720001</v>
      </c>
    </row>
    <row r="25" spans="1:24" x14ac:dyDescent="0.2">
      <c r="A25" s="8" t="str">
        <f>dados_icms!A25</f>
        <v>201810</v>
      </c>
      <c r="B25" s="8">
        <f>dados_icms!B25</f>
        <v>2018</v>
      </c>
      <c r="C25" s="8">
        <f>dados_icms!C25</f>
        <v>10</v>
      </c>
      <c r="D25" s="92">
        <f>dados_icms!D25</f>
        <v>43374</v>
      </c>
      <c r="E25" s="106">
        <f>ABS(SUMPRODUCT(dados_icms!E:E,-(dados_icms!$B:$B=$B25),-(dados_icms!$C:$C&lt;=$C25)))</f>
        <v>7391454.29</v>
      </c>
      <c r="F25" s="106">
        <f>ABS(SUMPRODUCT(dados_icms!F:F,-(dados_icms!$B:$B=$B25),-(dados_icms!$C:$C&lt;=$C25)))</f>
        <v>1565551386.8099999</v>
      </c>
      <c r="G25" s="106">
        <f>ABS(SUMPRODUCT(dados_icms!G:G,-(dados_icms!$B:$B=$B25),-(dados_icms!$C:$C&lt;=$C25)))</f>
        <v>8279658936.6100016</v>
      </c>
      <c r="H25" s="106">
        <f>ABS(SUMPRODUCT(dados_icms!H:H,-(dados_icms!$B:$B=$B25),-(dados_icms!$C:$C&lt;=$C25)))</f>
        <v>5565759064.1000004</v>
      </c>
      <c r="I25" s="106">
        <f>ABS(SUMPRODUCT(dados_icms!I:I,-(dados_icms!$B:$B=$B25),-(dados_icms!$C:$C&lt;=$C25)))</f>
        <v>19834933.169999998</v>
      </c>
      <c r="J25" s="106">
        <f>ABS(SUMPRODUCT(dados_icms!J:J,-(dados_icms!$B:$B=$B25),-(dados_icms!$C:$C&lt;=$C25)))</f>
        <v>33559605.460000001</v>
      </c>
      <c r="K25" s="106">
        <f>ABS(SUMPRODUCT(dados_icms!K:K,-(dados_icms!$B:$B=$B25),-(dados_icms!$C:$C&lt;=$C25)))</f>
        <v>9304145985.7399998</v>
      </c>
      <c r="L25" s="106">
        <f>ABS(SUMPRODUCT(dados_icms!L:L,-(dados_icms!$B:$B=$B25),-(dados_icms!$C:$C&lt;=$C25)))</f>
        <v>836598275.90999985</v>
      </c>
      <c r="M25" s="106">
        <f>ABS(SUMPRODUCT(dados_icms!M:M,-(dados_icms!$B:$B=$B25),-(dados_icms!$C:$C&lt;=$C25)))</f>
        <v>365081911.15000004</v>
      </c>
      <c r="N25" s="106">
        <f>ABS(SUMPRODUCT(dados_icms!N:N,-(dados_icms!$B:$B=$B25),-(dados_icms!$C:$C&lt;=$C25)))</f>
        <v>2874065202.6300001</v>
      </c>
      <c r="O25" s="106">
        <f>ABS(SUMPRODUCT(dados_icms!O:O,-(dados_icms!$B:$B=$B25),-(dados_icms!$C:$C&lt;=$C25)))</f>
        <v>1124409.3799999999</v>
      </c>
      <c r="P25" s="106">
        <f>ABS(SUMPRODUCT(dados_icms!P:P,-(dados_icms!$B:$B=$B25),-(dados_icms!$C:$C&lt;=$C25)))</f>
        <v>275091.15999999997</v>
      </c>
      <c r="Q25" s="106">
        <f>ABS(SUMPRODUCT(dados_icms!Q:Q,-(dados_icms!$B:$B=$B25),-(dados_icms!$C:$C&lt;=$C25)))</f>
        <v>42209048.689999998</v>
      </c>
      <c r="R25" s="106">
        <f>ABS(SUMPRODUCT(dados_icms!R:R,-(dados_icms!$B:$B=$B25),-(dados_icms!$C:$C&lt;=$C25)))</f>
        <v>44760265.019999996</v>
      </c>
      <c r="S25" s="106">
        <f>ABS(SUMPRODUCT(dados_icms!S:S,-(dados_icms!$B:$B=$B25),-(dados_icms!$C:$C&lt;=$C25)))</f>
        <v>339011.91000000003</v>
      </c>
      <c r="T25" s="106">
        <f>ABS(SUMPRODUCT(dados_icms!T:T,-(dados_icms!$B:$B=$B25),-(dados_icms!$C:$C&lt;=$C25)))</f>
        <v>2197004.7600000002</v>
      </c>
      <c r="U25" s="106">
        <f>ABS(SUMPRODUCT(dados_icms!U:U,-(dados_icms!$B:$B=$B25),-(dados_icms!$C:$C&lt;=$C25)))</f>
        <v>418553.01999999996</v>
      </c>
      <c r="V25" s="106">
        <f>ABS(SUMPRODUCT(dados_icms!V:V,-(dados_icms!$B:$B=$B25),-(dados_icms!$C:$C&lt;=$C25)))</f>
        <v>3428190.41</v>
      </c>
      <c r="W25" s="106">
        <f>ABS(SUMPRODUCT(dados_icms!W:W,-(dados_icms!$B:$B=$B25),-(dados_icms!$C:$C&lt;=$C25)))</f>
        <v>14342374.100000001</v>
      </c>
      <c r="X25" s="106">
        <f>ABS(SUMPRODUCT(dados_icms!X:X,-(dados_icms!$B:$B=$B25),-(dados_icms!$C:$C&lt;=$C25)))</f>
        <v>28960740704.32</v>
      </c>
    </row>
    <row r="26" spans="1:24" x14ac:dyDescent="0.2">
      <c r="A26" s="8" t="str">
        <f>dados_icms!A26</f>
        <v>201811</v>
      </c>
      <c r="B26" s="8">
        <f>dados_icms!B26</f>
        <v>2018</v>
      </c>
      <c r="C26" s="8">
        <f>dados_icms!C26</f>
        <v>11</v>
      </c>
      <c r="D26" s="92">
        <f>dados_icms!D26</f>
        <v>43405</v>
      </c>
      <c r="E26" s="106">
        <f>ABS(SUMPRODUCT(dados_icms!E:E,-(dados_icms!$B:$B=$B26),-(dados_icms!$C:$C&lt;=$C26)))</f>
        <v>7775379.79</v>
      </c>
      <c r="F26" s="106">
        <f>ABS(SUMPRODUCT(dados_icms!F:F,-(dados_icms!$B:$B=$B26),-(dados_icms!$C:$C&lt;=$C26)))</f>
        <v>2256876118.3299999</v>
      </c>
      <c r="G26" s="106">
        <f>ABS(SUMPRODUCT(dados_icms!G:G,-(dados_icms!$B:$B=$B26),-(dados_icms!$C:$C&lt;=$C26)))</f>
        <v>9237337956.8600025</v>
      </c>
      <c r="H26" s="106">
        <f>ABS(SUMPRODUCT(dados_icms!H:H,-(dados_icms!$B:$B=$B26),-(dados_icms!$C:$C&lt;=$C26)))</f>
        <v>6077224015.0200005</v>
      </c>
      <c r="I26" s="106">
        <f>ABS(SUMPRODUCT(dados_icms!I:I,-(dados_icms!$B:$B=$B26),-(dados_icms!$C:$C&lt;=$C26)))</f>
        <v>25643295.369999997</v>
      </c>
      <c r="J26" s="106">
        <f>ABS(SUMPRODUCT(dados_icms!J:J,-(dados_icms!$B:$B=$B26),-(dados_icms!$C:$C&lt;=$C26)))</f>
        <v>42230839.420000002</v>
      </c>
      <c r="K26" s="106">
        <f>ABS(SUMPRODUCT(dados_icms!K:K,-(dados_icms!$B:$B=$B26),-(dados_icms!$C:$C&lt;=$C26)))</f>
        <v>10293071051.440001</v>
      </c>
      <c r="L26" s="106">
        <f>ABS(SUMPRODUCT(dados_icms!L:L,-(dados_icms!$B:$B=$B26),-(dados_icms!$C:$C&lt;=$C26)))</f>
        <v>929430389.54999983</v>
      </c>
      <c r="M26" s="106">
        <f>ABS(SUMPRODUCT(dados_icms!M:M,-(dados_icms!$B:$B=$B26),-(dados_icms!$C:$C&lt;=$C26)))</f>
        <v>403126675.71000004</v>
      </c>
      <c r="N26" s="106">
        <f>ABS(SUMPRODUCT(dados_icms!N:N,-(dados_icms!$B:$B=$B26),-(dados_icms!$C:$C&lt;=$C26)))</f>
        <v>3166809217.5300002</v>
      </c>
      <c r="O26" s="106">
        <f>ABS(SUMPRODUCT(dados_icms!O:O,-(dados_icms!$B:$B=$B26),-(dados_icms!$C:$C&lt;=$C26)))</f>
        <v>1176216.49</v>
      </c>
      <c r="P26" s="106">
        <f>ABS(SUMPRODUCT(dados_icms!P:P,-(dados_icms!$B:$B=$B26),-(dados_icms!$C:$C&lt;=$C26)))</f>
        <v>285045.28999999998</v>
      </c>
      <c r="Q26" s="106">
        <f>ABS(SUMPRODUCT(dados_icms!Q:Q,-(dados_icms!$B:$B=$B26),-(dados_icms!$C:$C&lt;=$C26)))</f>
        <v>47951492.530000001</v>
      </c>
      <c r="R26" s="106">
        <f>ABS(SUMPRODUCT(dados_icms!R:R,-(dados_icms!$B:$B=$B26),-(dados_icms!$C:$C&lt;=$C26)))</f>
        <v>49840177.749999993</v>
      </c>
      <c r="S26" s="106">
        <f>ABS(SUMPRODUCT(dados_icms!S:S,-(dados_icms!$B:$B=$B26),-(dados_icms!$C:$C&lt;=$C26)))</f>
        <v>344633.09</v>
      </c>
      <c r="T26" s="106">
        <f>ABS(SUMPRODUCT(dados_icms!T:T,-(dados_icms!$B:$B=$B26),-(dados_icms!$C:$C&lt;=$C26)))</f>
        <v>2380650.7700000005</v>
      </c>
      <c r="U26" s="106">
        <f>ABS(SUMPRODUCT(dados_icms!U:U,-(dados_icms!$B:$B=$B26),-(dados_icms!$C:$C&lt;=$C26)))</f>
        <v>495880.69999999995</v>
      </c>
      <c r="V26" s="106">
        <f>ABS(SUMPRODUCT(dados_icms!V:V,-(dados_icms!$B:$B=$B26),-(dados_icms!$C:$C&lt;=$C26)))</f>
        <v>3778940.0500000003</v>
      </c>
      <c r="W26" s="106">
        <f>ABS(SUMPRODUCT(dados_icms!W:W,-(dados_icms!$B:$B=$B26),-(dados_icms!$C:$C&lt;=$C26)))</f>
        <v>15691434.57</v>
      </c>
      <c r="X26" s="106">
        <f>ABS(SUMPRODUCT(dados_icms!X:X,-(dados_icms!$B:$B=$B26),-(dados_icms!$C:$C&lt;=$C26)))</f>
        <v>32561469410.259998</v>
      </c>
    </row>
    <row r="27" spans="1:24" x14ac:dyDescent="0.2">
      <c r="A27" s="8" t="str">
        <f>dados_icms!A27</f>
        <v>201812</v>
      </c>
      <c r="B27" s="8">
        <f>dados_icms!B27</f>
        <v>2018</v>
      </c>
      <c r="C27" s="8">
        <f>dados_icms!C27</f>
        <v>12</v>
      </c>
      <c r="D27" s="92">
        <f>dados_icms!D27</f>
        <v>43435</v>
      </c>
      <c r="E27" s="106">
        <f>ABS(SUMPRODUCT(dados_icms!E:E,-(dados_icms!$B:$B=$B27),-(dados_icms!$C:$C&lt;=$C27)))</f>
        <v>8612063.0700000003</v>
      </c>
      <c r="F27" s="106">
        <f>ABS(SUMPRODUCT(dados_icms!F:F,-(dados_icms!$B:$B=$B27),-(dados_icms!$C:$C&lt;=$C27)))</f>
        <v>2329936729.5900002</v>
      </c>
      <c r="G27" s="106">
        <f>ABS(SUMPRODUCT(dados_icms!G:G,-(dados_icms!$B:$B=$B27),-(dados_icms!$C:$C&lt;=$C27)))</f>
        <v>10123558909.610003</v>
      </c>
      <c r="H27" s="106">
        <f>ABS(SUMPRODUCT(dados_icms!H:H,-(dados_icms!$B:$B=$B27),-(dados_icms!$C:$C&lt;=$C27)))</f>
        <v>6493177133.7700005</v>
      </c>
      <c r="I27" s="106">
        <f>ABS(SUMPRODUCT(dados_icms!I:I,-(dados_icms!$B:$B=$B27),-(dados_icms!$C:$C&lt;=$C27)))</f>
        <v>27881846.659999996</v>
      </c>
      <c r="J27" s="106">
        <f>ABS(SUMPRODUCT(dados_icms!J:J,-(dados_icms!$B:$B=$B27),-(dados_icms!$C:$C&lt;=$C27)))</f>
        <v>46604265.980000004</v>
      </c>
      <c r="K27" s="106">
        <f>ABS(SUMPRODUCT(dados_icms!K:K,-(dados_icms!$B:$B=$B27),-(dados_icms!$C:$C&lt;=$C27)))</f>
        <v>11267163516.120001</v>
      </c>
      <c r="L27" s="106">
        <f>ABS(SUMPRODUCT(dados_icms!L:L,-(dados_icms!$B:$B=$B27),-(dados_icms!$C:$C&lt;=$C27)))</f>
        <v>1020040534.8999999</v>
      </c>
      <c r="M27" s="106">
        <f>ABS(SUMPRODUCT(dados_icms!M:M,-(dados_icms!$B:$B=$B27),-(dados_icms!$C:$C&lt;=$C27)))</f>
        <v>441218300.78000003</v>
      </c>
      <c r="N27" s="106">
        <f>ABS(SUMPRODUCT(dados_icms!N:N,-(dados_icms!$B:$B=$B27),-(dados_icms!$C:$C&lt;=$C27)))</f>
        <v>3425587890.9400001</v>
      </c>
      <c r="O27" s="106">
        <f>ABS(SUMPRODUCT(dados_icms!O:O,-(dados_icms!$B:$B=$B27),-(dados_icms!$C:$C&lt;=$C27)))</f>
        <v>1297687.81</v>
      </c>
      <c r="P27" s="106">
        <f>ABS(SUMPRODUCT(dados_icms!P:P,-(dados_icms!$B:$B=$B27),-(dados_icms!$C:$C&lt;=$C27)))</f>
        <v>297690.63</v>
      </c>
      <c r="Q27" s="106">
        <f>ABS(SUMPRODUCT(dados_icms!Q:Q,-(dados_icms!$B:$B=$B27),-(dados_icms!$C:$C&lt;=$C27)))</f>
        <v>51590841.850000001</v>
      </c>
      <c r="R27" s="106">
        <f>ABS(SUMPRODUCT(dados_icms!R:R,-(dados_icms!$B:$B=$B27),-(dados_icms!$C:$C&lt;=$C27)))</f>
        <v>53936224.309999995</v>
      </c>
      <c r="S27" s="106">
        <f>ABS(SUMPRODUCT(dados_icms!S:S,-(dados_icms!$B:$B=$B27),-(dados_icms!$C:$C&lt;=$C27)))</f>
        <v>355416.34</v>
      </c>
      <c r="T27" s="106">
        <f>ABS(SUMPRODUCT(dados_icms!T:T,-(dados_icms!$B:$B=$B27),-(dados_icms!$C:$C&lt;=$C27)))</f>
        <v>2538458.9200000004</v>
      </c>
      <c r="U27" s="106">
        <f>ABS(SUMPRODUCT(dados_icms!U:U,-(dados_icms!$B:$B=$B27),-(dados_icms!$C:$C&lt;=$C27)))</f>
        <v>549758.98</v>
      </c>
      <c r="V27" s="106">
        <f>ABS(SUMPRODUCT(dados_icms!V:V,-(dados_icms!$B:$B=$B27),-(dados_icms!$C:$C&lt;=$C27)))</f>
        <v>4412196.2300000004</v>
      </c>
      <c r="W27" s="106">
        <f>ABS(SUMPRODUCT(dados_icms!W:W,-(dados_icms!$B:$B=$B27),-(dados_icms!$C:$C&lt;=$C27)))</f>
        <v>17956343.350000001</v>
      </c>
      <c r="X27" s="106">
        <f>ABS(SUMPRODUCT(dados_icms!X:X,-(dados_icms!$B:$B=$B27),-(dados_icms!$C:$C&lt;=$C27)))</f>
        <v>35316715809.839996</v>
      </c>
    </row>
    <row r="28" spans="1:24" x14ac:dyDescent="0.2">
      <c r="A28" s="8" t="str">
        <f>dados_icms!A28</f>
        <v>20191</v>
      </c>
      <c r="B28" s="8">
        <f>dados_icms!B28</f>
        <v>2019</v>
      </c>
      <c r="C28" s="8">
        <f>dados_icms!C28</f>
        <v>1</v>
      </c>
      <c r="D28" s="92">
        <f>dados_icms!D28</f>
        <v>43466</v>
      </c>
      <c r="E28" s="106">
        <f>ABS(SUMPRODUCT(dados_icms!E:E,-(dados_icms!$B:$B=$B28),-(dados_icms!$C:$C&lt;=$C28)))</f>
        <v>567973.38</v>
      </c>
      <c r="F28" s="106">
        <f>ABS(SUMPRODUCT(dados_icms!F:F,-(dados_icms!$B:$B=$B28),-(dados_icms!$C:$C&lt;=$C28)))</f>
        <v>281940222.20999992</v>
      </c>
      <c r="G28" s="106">
        <f>ABS(SUMPRODUCT(dados_icms!G:G,-(dados_icms!$B:$B=$B28),-(dados_icms!$C:$C&lt;=$C28)))</f>
        <v>1108863331.0699995</v>
      </c>
      <c r="H28" s="106">
        <f>ABS(SUMPRODUCT(dados_icms!H:H,-(dados_icms!$B:$B=$B28),-(dados_icms!$C:$C&lt;=$C28)))</f>
        <v>542715345.26999998</v>
      </c>
      <c r="I28" s="106">
        <f>ABS(SUMPRODUCT(dados_icms!I:I,-(dados_icms!$B:$B=$B28),-(dados_icms!$C:$C&lt;=$C28)))</f>
        <v>2267912.4799999995</v>
      </c>
      <c r="J28" s="106">
        <f>ABS(SUMPRODUCT(dados_icms!J:J,-(dados_icms!$B:$B=$B28),-(dados_icms!$C:$C&lt;=$C28)))</f>
        <v>4150164.21</v>
      </c>
      <c r="K28" s="106">
        <f>ABS(SUMPRODUCT(dados_icms!K:K,-(dados_icms!$B:$B=$B28),-(dados_icms!$C:$C&lt;=$C28)))</f>
        <v>1090230250.26</v>
      </c>
      <c r="L28" s="106">
        <f>ABS(SUMPRODUCT(dados_icms!L:L,-(dados_icms!$B:$B=$B28),-(dados_icms!$C:$C&lt;=$C28)))</f>
        <v>87102725.600000009</v>
      </c>
      <c r="M28" s="106">
        <f>ABS(SUMPRODUCT(dados_icms!M:M,-(dados_icms!$B:$B=$B28),-(dados_icms!$C:$C&lt;=$C28)))</f>
        <v>41585221.100000001</v>
      </c>
      <c r="N28" s="106">
        <f>ABS(SUMPRODUCT(dados_icms!N:N,-(dados_icms!$B:$B=$B28),-(dados_icms!$C:$C&lt;=$C28)))</f>
        <v>303152408.2700001</v>
      </c>
      <c r="O28" s="106">
        <f>ABS(SUMPRODUCT(dados_icms!O:O,-(dados_icms!$B:$B=$B28),-(dados_icms!$C:$C&lt;=$C28)))</f>
        <v>100094.74</v>
      </c>
      <c r="P28" s="106">
        <f>ABS(SUMPRODUCT(dados_icms!P:P,-(dados_icms!$B:$B=$B28),-(dados_icms!$C:$C&lt;=$C28)))</f>
        <v>28346.21</v>
      </c>
      <c r="Q28" s="106">
        <f>ABS(SUMPRODUCT(dados_icms!Q:Q,-(dados_icms!$B:$B=$B28),-(dados_icms!$C:$C&lt;=$C28)))</f>
        <v>8882722.8099999987</v>
      </c>
      <c r="R28" s="106">
        <f>ABS(SUMPRODUCT(dados_icms!R:R,-(dados_icms!$B:$B=$B28),-(dados_icms!$C:$C&lt;=$C28)))</f>
        <v>5710490.1400000006</v>
      </c>
      <c r="S28" s="106">
        <f>ABS(SUMPRODUCT(dados_icms!S:S,-(dados_icms!$B:$B=$B28),-(dados_icms!$C:$C&lt;=$C28)))</f>
        <v>870541.70000000007</v>
      </c>
      <c r="T28" s="106">
        <f>ABS(SUMPRODUCT(dados_icms!T:T,-(dados_icms!$B:$B=$B28),-(dados_icms!$C:$C&lt;=$C28)))</f>
        <v>273180.28000000003</v>
      </c>
      <c r="U28" s="106">
        <f>ABS(SUMPRODUCT(dados_icms!U:U,-(dados_icms!$B:$B=$B28),-(dados_icms!$C:$C&lt;=$C28)))</f>
        <v>56730.01</v>
      </c>
      <c r="V28" s="106">
        <f>ABS(SUMPRODUCT(dados_icms!V:V,-(dados_icms!$B:$B=$B28),-(dados_icms!$C:$C&lt;=$C28)))</f>
        <v>405833.51000000007</v>
      </c>
      <c r="W28" s="106">
        <f>ABS(SUMPRODUCT(dados_icms!W:W,-(dados_icms!$B:$B=$B28),-(dados_icms!$C:$C&lt;=$C28)))</f>
        <v>1139923.17</v>
      </c>
      <c r="X28" s="106">
        <f>ABS(SUMPRODUCT(dados_icms!X:X,-(dados_icms!$B:$B=$B28),-(dados_icms!$C:$C&lt;=$C28)))</f>
        <v>3480043416.4199991</v>
      </c>
    </row>
    <row r="29" spans="1:24" x14ac:dyDescent="0.2">
      <c r="A29" s="8" t="str">
        <f>dados_icms!A29</f>
        <v>20192</v>
      </c>
      <c r="B29" s="8">
        <f>dados_icms!B29</f>
        <v>2019</v>
      </c>
      <c r="C29" s="8">
        <f>dados_icms!C29</f>
        <v>2</v>
      </c>
      <c r="D29" s="92">
        <f>dados_icms!D29</f>
        <v>43497</v>
      </c>
      <c r="E29" s="106">
        <f>ABS(SUMPRODUCT(dados_icms!E:E,-(dados_icms!$B:$B=$B29),-(dados_icms!$C:$C&lt;=$C29)))</f>
        <v>1016631.8500000001</v>
      </c>
      <c r="F29" s="106">
        <f>ABS(SUMPRODUCT(dados_icms!F:F,-(dados_icms!$B:$B=$B29),-(dados_icms!$C:$C&lt;=$C29)))</f>
        <v>342109987.61999995</v>
      </c>
      <c r="G29" s="106">
        <f>ABS(SUMPRODUCT(dados_icms!G:G,-(dados_icms!$B:$B=$B29),-(dados_icms!$C:$C&lt;=$C29)))</f>
        <v>1911677154.3400006</v>
      </c>
      <c r="H29" s="106">
        <f>ABS(SUMPRODUCT(dados_icms!H:H,-(dados_icms!$B:$B=$B29),-(dados_icms!$C:$C&lt;=$C29)))</f>
        <v>1372900555.5</v>
      </c>
      <c r="I29" s="106">
        <f>ABS(SUMPRODUCT(dados_icms!I:I,-(dados_icms!$B:$B=$B29),-(dados_icms!$C:$C&lt;=$C29)))</f>
        <v>4372460.9899999993</v>
      </c>
      <c r="J29" s="106">
        <f>ABS(SUMPRODUCT(dados_icms!J:J,-(dados_icms!$B:$B=$B29),-(dados_icms!$C:$C&lt;=$C29)))</f>
        <v>7301532.5199999996</v>
      </c>
      <c r="K29" s="106">
        <f>ABS(SUMPRODUCT(dados_icms!K:K,-(dados_icms!$B:$B=$B29),-(dados_icms!$C:$C&lt;=$C29)))</f>
        <v>2036566780.46</v>
      </c>
      <c r="L29" s="106">
        <f>ABS(SUMPRODUCT(dados_icms!L:L,-(dados_icms!$B:$B=$B29),-(dados_icms!$C:$C&lt;=$C29)))</f>
        <v>177249922.04999998</v>
      </c>
      <c r="M29" s="106">
        <f>ABS(SUMPRODUCT(dados_icms!M:M,-(dados_icms!$B:$B=$B29),-(dados_icms!$C:$C&lt;=$C29)))</f>
        <v>81720781.120000005</v>
      </c>
      <c r="N29" s="106">
        <f>ABS(SUMPRODUCT(dados_icms!N:N,-(dados_icms!$B:$B=$B29),-(dados_icms!$C:$C&lt;=$C29)))</f>
        <v>610892737.97000003</v>
      </c>
      <c r="O29" s="106">
        <f>ABS(SUMPRODUCT(dados_icms!O:O,-(dados_icms!$B:$B=$B29),-(dados_icms!$C:$C&lt;=$C29)))</f>
        <v>162765.5</v>
      </c>
      <c r="P29" s="106">
        <f>ABS(SUMPRODUCT(dados_icms!P:P,-(dados_icms!$B:$B=$B29),-(dados_icms!$C:$C&lt;=$C29)))</f>
        <v>49049.34</v>
      </c>
      <c r="Q29" s="106">
        <f>ABS(SUMPRODUCT(dados_icms!Q:Q,-(dados_icms!$B:$B=$B29),-(dados_icms!$C:$C&lt;=$C29)))</f>
        <v>14220616.709999997</v>
      </c>
      <c r="R29" s="106">
        <f>ABS(SUMPRODUCT(dados_icms!R:R,-(dados_icms!$B:$B=$B29),-(dados_icms!$C:$C&lt;=$C29)))</f>
        <v>10781036.650000002</v>
      </c>
      <c r="S29" s="106">
        <f>ABS(SUMPRODUCT(dados_icms!S:S,-(dados_icms!$B:$B=$B29),-(dados_icms!$C:$C&lt;=$C29)))</f>
        <v>874921.97000000009</v>
      </c>
      <c r="T29" s="106">
        <f>ABS(SUMPRODUCT(dados_icms!T:T,-(dados_icms!$B:$B=$B29),-(dados_icms!$C:$C&lt;=$C29)))</f>
        <v>558273.82000000007</v>
      </c>
      <c r="U29" s="106">
        <f>ABS(SUMPRODUCT(dados_icms!U:U,-(dados_icms!$B:$B=$B29),-(dados_icms!$C:$C&lt;=$C29)))</f>
        <v>116032.4</v>
      </c>
      <c r="V29" s="106">
        <f>ABS(SUMPRODUCT(dados_icms!V:V,-(dados_icms!$B:$B=$B29),-(dados_icms!$C:$C&lt;=$C29)))</f>
        <v>852986.25</v>
      </c>
      <c r="W29" s="106">
        <f>ABS(SUMPRODUCT(dados_icms!W:W,-(dados_icms!$B:$B=$B29),-(dados_icms!$C:$C&lt;=$C29)))</f>
        <v>2613094.0199999996</v>
      </c>
      <c r="X29" s="106">
        <f>ABS(SUMPRODUCT(dados_icms!X:X,-(dados_icms!$B:$B=$B29),-(dados_icms!$C:$C&lt;=$C29)))</f>
        <v>6576037321.0799999</v>
      </c>
    </row>
    <row r="30" spans="1:24" x14ac:dyDescent="0.2">
      <c r="A30" s="8" t="str">
        <f>dados_icms!A30</f>
        <v>20193</v>
      </c>
      <c r="B30" s="8">
        <f>dados_icms!B30</f>
        <v>2019</v>
      </c>
      <c r="C30" s="8">
        <f>dados_icms!C30</f>
        <v>3</v>
      </c>
      <c r="D30" s="92">
        <f>dados_icms!D30</f>
        <v>43525</v>
      </c>
      <c r="E30" s="106">
        <f>ABS(SUMPRODUCT(dados_icms!E:E,-(dados_icms!$B:$B=$B30),-(dados_icms!$C:$C&lt;=$C30)))</f>
        <v>1705523.38</v>
      </c>
      <c r="F30" s="106">
        <f>ABS(SUMPRODUCT(dados_icms!F:F,-(dados_icms!$B:$B=$B30),-(dados_icms!$C:$C&lt;=$C30)))</f>
        <v>393152557.66999996</v>
      </c>
      <c r="G30" s="106">
        <f>ABS(SUMPRODUCT(dados_icms!G:G,-(dados_icms!$B:$B=$B30),-(dados_icms!$C:$C&lt;=$C30)))</f>
        <v>2733177772.7800012</v>
      </c>
      <c r="H30" s="106">
        <f>ABS(SUMPRODUCT(dados_icms!H:H,-(dados_icms!$B:$B=$B30),-(dados_icms!$C:$C&lt;=$C30)))</f>
        <v>1854088843.04</v>
      </c>
      <c r="I30" s="106">
        <f>ABS(SUMPRODUCT(dados_icms!I:I,-(dados_icms!$B:$B=$B30),-(dados_icms!$C:$C&lt;=$C30)))</f>
        <v>6333506.9699999988</v>
      </c>
      <c r="J30" s="106">
        <f>ABS(SUMPRODUCT(dados_icms!J:J,-(dados_icms!$B:$B=$B30),-(dados_icms!$C:$C&lt;=$C30)))</f>
        <v>11663532.040000001</v>
      </c>
      <c r="K30" s="106">
        <f>ABS(SUMPRODUCT(dados_icms!K:K,-(dados_icms!$B:$B=$B30),-(dados_icms!$C:$C&lt;=$C30)))</f>
        <v>2939321005.2600002</v>
      </c>
      <c r="L30" s="106">
        <f>ABS(SUMPRODUCT(dados_icms!L:L,-(dados_icms!$B:$B=$B30),-(dados_icms!$C:$C&lt;=$C30)))</f>
        <v>266091911.12999997</v>
      </c>
      <c r="M30" s="106">
        <f>ABS(SUMPRODUCT(dados_icms!M:M,-(dados_icms!$B:$B=$B30),-(dados_icms!$C:$C&lt;=$C30)))</f>
        <v>117029077.96000001</v>
      </c>
      <c r="N30" s="106">
        <f>ABS(SUMPRODUCT(dados_icms!N:N,-(dados_icms!$B:$B=$B30),-(dados_icms!$C:$C&lt;=$C30)))</f>
        <v>885957114.88999999</v>
      </c>
      <c r="O30" s="106">
        <f>ABS(SUMPRODUCT(dados_icms!O:O,-(dados_icms!$B:$B=$B30),-(dados_icms!$C:$C&lt;=$C30)))</f>
        <v>227653.09</v>
      </c>
      <c r="P30" s="106">
        <f>ABS(SUMPRODUCT(dados_icms!P:P,-(dados_icms!$B:$B=$B30),-(dados_icms!$C:$C&lt;=$C30)))</f>
        <v>53146.28</v>
      </c>
      <c r="Q30" s="106">
        <f>ABS(SUMPRODUCT(dados_icms!Q:Q,-(dados_icms!$B:$B=$B30),-(dados_icms!$C:$C&lt;=$C30)))</f>
        <v>18785719.159999996</v>
      </c>
      <c r="R30" s="106">
        <f>ABS(SUMPRODUCT(dados_icms!R:R,-(dados_icms!$B:$B=$B30),-(dados_icms!$C:$C&lt;=$C30)))</f>
        <v>15213501.440000001</v>
      </c>
      <c r="S30" s="106">
        <f>ABS(SUMPRODUCT(dados_icms!S:S,-(dados_icms!$B:$B=$B30),-(dados_icms!$C:$C&lt;=$C30)))</f>
        <v>881434.41</v>
      </c>
      <c r="T30" s="106">
        <f>ABS(SUMPRODUCT(dados_icms!T:T,-(dados_icms!$B:$B=$B30),-(dados_icms!$C:$C&lt;=$C30)))</f>
        <v>888898.62000000011</v>
      </c>
      <c r="U30" s="106">
        <f>ABS(SUMPRODUCT(dados_icms!U:U,-(dados_icms!$B:$B=$B30),-(dados_icms!$C:$C&lt;=$C30)))</f>
        <v>217625.01</v>
      </c>
      <c r="V30" s="106">
        <f>ABS(SUMPRODUCT(dados_icms!V:V,-(dados_icms!$B:$B=$B30),-(dados_icms!$C:$C&lt;=$C30)))</f>
        <v>1193794.23</v>
      </c>
      <c r="W30" s="106">
        <f>ABS(SUMPRODUCT(dados_icms!W:W,-(dados_icms!$B:$B=$B30),-(dados_icms!$C:$C&lt;=$C30)))</f>
        <v>4703193.6900000004</v>
      </c>
      <c r="X30" s="106">
        <f>ABS(SUMPRODUCT(dados_icms!X:X,-(dados_icms!$B:$B=$B30),-(dados_icms!$C:$C&lt;=$C30)))</f>
        <v>9250685811.0500011</v>
      </c>
    </row>
    <row r="31" spans="1:24" x14ac:dyDescent="0.2">
      <c r="A31" s="8" t="str">
        <f>dados_icms!A31</f>
        <v>20194</v>
      </c>
      <c r="B31" s="8">
        <f>dados_icms!B31</f>
        <v>2019</v>
      </c>
      <c r="C31" s="8">
        <f>dados_icms!C31</f>
        <v>4</v>
      </c>
      <c r="D31" s="92">
        <f>dados_icms!D31</f>
        <v>43556</v>
      </c>
      <c r="E31" s="106">
        <f>ABS(SUMPRODUCT(dados_icms!E:E,-(dados_icms!$B:$B=$B31),-(dados_icms!$C:$C&lt;=$C31)))</f>
        <v>2494347.23</v>
      </c>
      <c r="F31" s="106">
        <f>ABS(SUMPRODUCT(dados_icms!F:F,-(dados_icms!$B:$B=$B31),-(dados_icms!$C:$C&lt;=$C31)))</f>
        <v>451045504.25999993</v>
      </c>
      <c r="G31" s="106">
        <f>ABS(SUMPRODUCT(dados_icms!G:G,-(dados_icms!$B:$B=$B31),-(dados_icms!$C:$C&lt;=$C31)))</f>
        <v>3721587480.5100012</v>
      </c>
      <c r="H31" s="106">
        <f>ABS(SUMPRODUCT(dados_icms!H:H,-(dados_icms!$B:$B=$B31),-(dados_icms!$C:$C&lt;=$C31)))</f>
        <v>2536662187.98</v>
      </c>
      <c r="I31" s="106">
        <f>ABS(SUMPRODUCT(dados_icms!I:I,-(dados_icms!$B:$B=$B31),-(dados_icms!$C:$C&lt;=$C31)))</f>
        <v>8624681.5799999982</v>
      </c>
      <c r="J31" s="106">
        <f>ABS(SUMPRODUCT(dados_icms!J:J,-(dados_icms!$B:$B=$B31),-(dados_icms!$C:$C&lt;=$C31)))</f>
        <v>16357713.470000003</v>
      </c>
      <c r="K31" s="106">
        <f>ABS(SUMPRODUCT(dados_icms!K:K,-(dados_icms!$B:$B=$B31),-(dados_icms!$C:$C&lt;=$C31)))</f>
        <v>3889265946.5099998</v>
      </c>
      <c r="L31" s="106">
        <f>ABS(SUMPRODUCT(dados_icms!L:L,-(dados_icms!$B:$B=$B31),-(dados_icms!$C:$C&lt;=$C31)))</f>
        <v>361703518.46999997</v>
      </c>
      <c r="M31" s="106">
        <f>ABS(SUMPRODUCT(dados_icms!M:M,-(dados_icms!$B:$B=$B31),-(dados_icms!$C:$C&lt;=$C31)))</f>
        <v>156285394.50999999</v>
      </c>
      <c r="N31" s="106">
        <f>ABS(SUMPRODUCT(dados_icms!N:N,-(dados_icms!$B:$B=$B31),-(dados_icms!$C:$C&lt;=$C31)))</f>
        <v>1151153776.6900001</v>
      </c>
      <c r="O31" s="106">
        <f>ABS(SUMPRODUCT(dados_icms!O:O,-(dados_icms!$B:$B=$B31),-(dados_icms!$C:$C&lt;=$C31)))</f>
        <v>272052.31</v>
      </c>
      <c r="P31" s="106">
        <f>ABS(SUMPRODUCT(dados_icms!P:P,-(dados_icms!$B:$B=$B31),-(dados_icms!$C:$C&lt;=$C31)))</f>
        <v>76831.37</v>
      </c>
      <c r="Q31" s="106">
        <f>ABS(SUMPRODUCT(dados_icms!Q:Q,-(dados_icms!$B:$B=$B31),-(dados_icms!$C:$C&lt;=$C31)))</f>
        <v>23267832.929999996</v>
      </c>
      <c r="R31" s="106">
        <f>ABS(SUMPRODUCT(dados_icms!R:R,-(dados_icms!$B:$B=$B31),-(dados_icms!$C:$C&lt;=$C31)))</f>
        <v>20146396.270000003</v>
      </c>
      <c r="S31" s="106">
        <f>ABS(SUMPRODUCT(dados_icms!S:S,-(dados_icms!$B:$B=$B31),-(dados_icms!$C:$C&lt;=$C31)))</f>
        <v>893180.34000000008</v>
      </c>
      <c r="T31" s="106">
        <f>ABS(SUMPRODUCT(dados_icms!T:T,-(dados_icms!$B:$B=$B31),-(dados_icms!$C:$C&lt;=$C31)))</f>
        <v>1076470.5900000001</v>
      </c>
      <c r="U31" s="106">
        <f>ABS(SUMPRODUCT(dados_icms!U:U,-(dados_icms!$B:$B=$B31),-(dados_icms!$C:$C&lt;=$C31)))</f>
        <v>298647.67000000004</v>
      </c>
      <c r="V31" s="106">
        <f>ABS(SUMPRODUCT(dados_icms!V:V,-(dados_icms!$B:$B=$B31),-(dados_icms!$C:$C&lt;=$C31)))</f>
        <v>1684223.99</v>
      </c>
      <c r="W31" s="106">
        <f>ABS(SUMPRODUCT(dados_icms!W:W,-(dados_icms!$B:$B=$B31),-(dados_icms!$C:$C&lt;=$C31)))</f>
        <v>6307924.1200000001</v>
      </c>
      <c r="X31" s="106">
        <f>ABS(SUMPRODUCT(dados_icms!X:X,-(dados_icms!$B:$B=$B31),-(dados_icms!$C:$C&lt;=$C31)))</f>
        <v>12349204110.799999</v>
      </c>
    </row>
    <row r="32" spans="1:24" x14ac:dyDescent="0.2">
      <c r="A32" s="8" t="str">
        <f>dados_icms!A32</f>
        <v>20195</v>
      </c>
      <c r="B32" s="8">
        <f>dados_icms!B32</f>
        <v>2019</v>
      </c>
      <c r="C32" s="8">
        <f>dados_icms!C32</f>
        <v>5</v>
      </c>
      <c r="D32" s="92">
        <f>dados_icms!D32</f>
        <v>43586</v>
      </c>
      <c r="E32" s="106">
        <f>ABS(SUMPRODUCT(dados_icms!E:E,-(dados_icms!$B:$B=$B32),-(dados_icms!$C:$C&lt;=$C32)))</f>
        <v>3466909.12</v>
      </c>
      <c r="F32" s="106">
        <f>ABS(SUMPRODUCT(dados_icms!F:F,-(dados_icms!$B:$B=$B32),-(dados_icms!$C:$C&lt;=$C32)))</f>
        <v>575138799.62999988</v>
      </c>
      <c r="G32" s="106">
        <f>ABS(SUMPRODUCT(dados_icms!G:G,-(dados_icms!$B:$B=$B32),-(dados_icms!$C:$C&lt;=$C32)))</f>
        <v>4534102159.7600031</v>
      </c>
      <c r="H32" s="106">
        <f>ABS(SUMPRODUCT(dados_icms!H:H,-(dados_icms!$B:$B=$B32),-(dados_icms!$C:$C&lt;=$C32)))</f>
        <v>3109003690.1300001</v>
      </c>
      <c r="I32" s="106">
        <f>ABS(SUMPRODUCT(dados_icms!I:I,-(dados_icms!$B:$B=$B32),-(dados_icms!$C:$C&lt;=$C32)))</f>
        <v>11644135.839999998</v>
      </c>
      <c r="J32" s="106">
        <f>ABS(SUMPRODUCT(dados_icms!J:J,-(dados_icms!$B:$B=$B32),-(dados_icms!$C:$C&lt;=$C32)))</f>
        <v>19904900.770000003</v>
      </c>
      <c r="K32" s="106">
        <f>ABS(SUMPRODUCT(dados_icms!K:K,-(dados_icms!$B:$B=$B32),-(dados_icms!$C:$C&lt;=$C32)))</f>
        <v>4832290472.3599997</v>
      </c>
      <c r="L32" s="106">
        <f>ABS(SUMPRODUCT(dados_icms!L:L,-(dados_icms!$B:$B=$B32),-(dados_icms!$C:$C&lt;=$C32)))</f>
        <v>451351351.64999992</v>
      </c>
      <c r="M32" s="106">
        <f>ABS(SUMPRODUCT(dados_icms!M:M,-(dados_icms!$B:$B=$B32),-(dados_icms!$C:$C&lt;=$C32)))</f>
        <v>193846602.06999999</v>
      </c>
      <c r="N32" s="106">
        <f>ABS(SUMPRODUCT(dados_icms!N:N,-(dados_icms!$B:$B=$B32),-(dados_icms!$C:$C&lt;=$C32)))</f>
        <v>1413010467.73</v>
      </c>
      <c r="O32" s="106">
        <f>ABS(SUMPRODUCT(dados_icms!O:O,-(dados_icms!$B:$B=$B32),-(dados_icms!$C:$C&lt;=$C32)))</f>
        <v>326648.02999999997</v>
      </c>
      <c r="P32" s="106">
        <f>ABS(SUMPRODUCT(dados_icms!P:P,-(dados_icms!$B:$B=$B32),-(dados_icms!$C:$C&lt;=$C32)))</f>
        <v>82946.709999999992</v>
      </c>
      <c r="Q32" s="106">
        <f>ABS(SUMPRODUCT(dados_icms!Q:Q,-(dados_icms!$B:$B=$B32),-(dados_icms!$C:$C&lt;=$C32)))</f>
        <v>27672152.919999994</v>
      </c>
      <c r="R32" s="106">
        <f>ABS(SUMPRODUCT(dados_icms!R:R,-(dados_icms!$B:$B=$B32),-(dados_icms!$C:$C&lt;=$C32)))</f>
        <v>24586152.230000004</v>
      </c>
      <c r="S32" s="106">
        <f>ABS(SUMPRODUCT(dados_icms!S:S,-(dados_icms!$B:$B=$B32),-(dados_icms!$C:$C&lt;=$C32)))</f>
        <v>896177.34000000008</v>
      </c>
      <c r="T32" s="106">
        <f>ABS(SUMPRODUCT(dados_icms!T:T,-(dados_icms!$B:$B=$B32),-(dados_icms!$C:$C&lt;=$C32)))</f>
        <v>1283616.22</v>
      </c>
      <c r="U32" s="106">
        <f>ABS(SUMPRODUCT(dados_icms!U:U,-(dados_icms!$B:$B=$B32),-(dados_icms!$C:$C&lt;=$C32)))</f>
        <v>370856.36000000004</v>
      </c>
      <c r="V32" s="106">
        <f>ABS(SUMPRODUCT(dados_icms!V:V,-(dados_icms!$B:$B=$B32),-(dados_icms!$C:$C&lt;=$C32)))</f>
        <v>2042733.2</v>
      </c>
      <c r="W32" s="106">
        <f>ABS(SUMPRODUCT(dados_icms!W:W,-(dados_icms!$B:$B=$B32),-(dados_icms!$C:$C&lt;=$C32)))</f>
        <v>7642069.6599999992</v>
      </c>
      <c r="X32" s="106">
        <f>ABS(SUMPRODUCT(dados_icms!X:X,-(dados_icms!$B:$B=$B32),-(dados_icms!$C:$C&lt;=$C32)))</f>
        <v>15208662841.73</v>
      </c>
    </row>
    <row r="33" spans="1:24" x14ac:dyDescent="0.2">
      <c r="A33" s="8" t="str">
        <f>dados_icms!A33</f>
        <v>20196</v>
      </c>
      <c r="B33" s="8">
        <f>dados_icms!B33</f>
        <v>2019</v>
      </c>
      <c r="C33" s="8">
        <f>dados_icms!C33</f>
        <v>6</v>
      </c>
      <c r="D33" s="92">
        <f>dados_icms!D33</f>
        <v>43617</v>
      </c>
      <c r="E33" s="106">
        <f>ABS(SUMPRODUCT(dados_icms!E:E,-(dados_icms!$B:$B=$B33),-(dados_icms!$C:$C&lt;=$C33)))</f>
        <v>4330015.84</v>
      </c>
      <c r="F33" s="106">
        <f>ABS(SUMPRODUCT(dados_icms!F:F,-(dados_icms!$B:$B=$B33),-(dados_icms!$C:$C&lt;=$C33)))</f>
        <v>628270921.88999987</v>
      </c>
      <c r="G33" s="106">
        <f>ABS(SUMPRODUCT(dados_icms!G:G,-(dados_icms!$B:$B=$B33),-(dados_icms!$C:$C&lt;=$C33)))</f>
        <v>5392153220.7400036</v>
      </c>
      <c r="H33" s="106">
        <f>ABS(SUMPRODUCT(dados_icms!H:H,-(dados_icms!$B:$B=$B33),-(dados_icms!$C:$C&lt;=$C33)))</f>
        <v>3520404733.98</v>
      </c>
      <c r="I33" s="106">
        <f>ABS(SUMPRODUCT(dados_icms!I:I,-(dados_icms!$B:$B=$B33),-(dados_icms!$C:$C&lt;=$C33)))</f>
        <v>14480819.709999997</v>
      </c>
      <c r="J33" s="106">
        <f>ABS(SUMPRODUCT(dados_icms!J:J,-(dados_icms!$B:$B=$B33),-(dados_icms!$C:$C&lt;=$C33)))</f>
        <v>23657303.600000005</v>
      </c>
      <c r="K33" s="106">
        <f>ABS(SUMPRODUCT(dados_icms!K:K,-(dados_icms!$B:$B=$B33),-(dados_icms!$C:$C&lt;=$C33)))</f>
        <v>5711311841.9099998</v>
      </c>
      <c r="L33" s="106">
        <f>ABS(SUMPRODUCT(dados_icms!L:L,-(dados_icms!$B:$B=$B33),-(dados_icms!$C:$C&lt;=$C33)))</f>
        <v>542388713.94999993</v>
      </c>
      <c r="M33" s="106">
        <f>ABS(SUMPRODUCT(dados_icms!M:M,-(dados_icms!$B:$B=$B33),-(dados_icms!$C:$C&lt;=$C33)))</f>
        <v>231877827.18000001</v>
      </c>
      <c r="N33" s="106">
        <f>ABS(SUMPRODUCT(dados_icms!N:N,-(dados_icms!$B:$B=$B33),-(dados_icms!$C:$C&lt;=$C33)))</f>
        <v>1665040483.8700001</v>
      </c>
      <c r="O33" s="106">
        <f>ABS(SUMPRODUCT(dados_icms!O:O,-(dados_icms!$B:$B=$B33),-(dados_icms!$C:$C&lt;=$C33)))</f>
        <v>396724.89999999997</v>
      </c>
      <c r="P33" s="106">
        <f>ABS(SUMPRODUCT(dados_icms!P:P,-(dados_icms!$B:$B=$B33),-(dados_icms!$C:$C&lt;=$C33)))</f>
        <v>90418.609999999986</v>
      </c>
      <c r="Q33" s="106">
        <f>ABS(SUMPRODUCT(dados_icms!Q:Q,-(dados_icms!$B:$B=$B33),-(dados_icms!$C:$C&lt;=$C33)))</f>
        <v>31730354.679999992</v>
      </c>
      <c r="R33" s="106">
        <f>ABS(SUMPRODUCT(dados_icms!R:R,-(dados_icms!$B:$B=$B33),-(dados_icms!$C:$C&lt;=$C33)))</f>
        <v>29726225.450000003</v>
      </c>
      <c r="S33" s="106">
        <f>ABS(SUMPRODUCT(dados_icms!S:S,-(dados_icms!$B:$B=$B33),-(dados_icms!$C:$C&lt;=$C33)))</f>
        <v>897774.52000000014</v>
      </c>
      <c r="T33" s="106">
        <f>ABS(SUMPRODUCT(dados_icms!T:T,-(dados_icms!$B:$B=$B33),-(dados_icms!$C:$C&lt;=$C33)))</f>
        <v>1535667.1</v>
      </c>
      <c r="U33" s="106">
        <f>ABS(SUMPRODUCT(dados_icms!U:U,-(dados_icms!$B:$B=$B33),-(dados_icms!$C:$C&lt;=$C33)))</f>
        <v>456869.29000000004</v>
      </c>
      <c r="V33" s="106">
        <f>ABS(SUMPRODUCT(dados_icms!V:V,-(dados_icms!$B:$B=$B33),-(dados_icms!$C:$C&lt;=$C33)))</f>
        <v>2408919.34</v>
      </c>
      <c r="W33" s="106">
        <f>ABS(SUMPRODUCT(dados_icms!W:W,-(dados_icms!$B:$B=$B33),-(dados_icms!$C:$C&lt;=$C33)))</f>
        <v>9016560.129999999</v>
      </c>
      <c r="X33" s="106">
        <f>ABS(SUMPRODUCT(dados_icms!X:X,-(dados_icms!$B:$B=$B33),-(dados_icms!$C:$C&lt;=$C33)))</f>
        <v>17810175396.689999</v>
      </c>
    </row>
    <row r="34" spans="1:24" x14ac:dyDescent="0.2">
      <c r="A34" s="8" t="str">
        <f>dados_icms!A34</f>
        <v>20197</v>
      </c>
      <c r="B34" s="8">
        <f>dados_icms!B34</f>
        <v>2019</v>
      </c>
      <c r="C34" s="8">
        <f>dados_icms!C34</f>
        <v>7</v>
      </c>
      <c r="D34" s="92">
        <f>dados_icms!D34</f>
        <v>43647</v>
      </c>
      <c r="E34" s="106">
        <f>ABS(SUMPRODUCT(dados_icms!E:E,-(dados_icms!$B:$B=$B34),-(dados_icms!$C:$C&lt;=$C34)))</f>
        <v>5134653.42</v>
      </c>
      <c r="F34" s="106">
        <f>ABS(SUMPRODUCT(dados_icms!F:F,-(dados_icms!$B:$B=$B34),-(dados_icms!$C:$C&lt;=$C34)))</f>
        <v>701994161.5999999</v>
      </c>
      <c r="G34" s="106">
        <f>ABS(SUMPRODUCT(dados_icms!G:G,-(dados_icms!$B:$B=$B34),-(dados_icms!$C:$C&lt;=$C34)))</f>
        <v>6119839866.7400036</v>
      </c>
      <c r="H34" s="106">
        <f>ABS(SUMPRODUCT(dados_icms!H:H,-(dados_icms!$B:$B=$B34),-(dados_icms!$C:$C&lt;=$C34)))</f>
        <v>4053344484.5599999</v>
      </c>
      <c r="I34" s="106">
        <f>ABS(SUMPRODUCT(dados_icms!I:I,-(dados_icms!$B:$B=$B34),-(dados_icms!$C:$C&lt;=$C34)))</f>
        <v>17077300.999999996</v>
      </c>
      <c r="J34" s="106">
        <f>ABS(SUMPRODUCT(dados_icms!J:J,-(dados_icms!$B:$B=$B34),-(dados_icms!$C:$C&lt;=$C34)))</f>
        <v>27635503.500000004</v>
      </c>
      <c r="K34" s="106">
        <f>ABS(SUMPRODUCT(dados_icms!K:K,-(dados_icms!$B:$B=$B34),-(dados_icms!$C:$C&lt;=$C34)))</f>
        <v>6603001605.3699999</v>
      </c>
      <c r="L34" s="106">
        <f>ABS(SUMPRODUCT(dados_icms!L:L,-(dados_icms!$B:$B=$B34),-(dados_icms!$C:$C&lt;=$C34)))</f>
        <v>629364494.21999991</v>
      </c>
      <c r="M34" s="106">
        <f>ABS(SUMPRODUCT(dados_icms!M:M,-(dados_icms!$B:$B=$B34),-(dados_icms!$C:$C&lt;=$C34)))</f>
        <v>268713424.76999998</v>
      </c>
      <c r="N34" s="106">
        <f>ABS(SUMPRODUCT(dados_icms!N:N,-(dados_icms!$B:$B=$B34),-(dados_icms!$C:$C&lt;=$C34)))</f>
        <v>1915364899.8100002</v>
      </c>
      <c r="O34" s="106">
        <f>ABS(SUMPRODUCT(dados_icms!O:O,-(dados_icms!$B:$B=$B34),-(dados_icms!$C:$C&lt;=$C34)))</f>
        <v>470712.36</v>
      </c>
      <c r="P34" s="106">
        <f>ABS(SUMPRODUCT(dados_icms!P:P,-(dados_icms!$B:$B=$B34),-(dados_icms!$C:$C&lt;=$C34)))</f>
        <v>98751.469999999987</v>
      </c>
      <c r="Q34" s="106">
        <f>ABS(SUMPRODUCT(dados_icms!Q:Q,-(dados_icms!$B:$B=$B34),-(dados_icms!$C:$C&lt;=$C34)))</f>
        <v>37435591.769999996</v>
      </c>
      <c r="R34" s="106">
        <f>ABS(SUMPRODUCT(dados_icms!R:R,-(dados_icms!$B:$B=$B34),-(dados_icms!$C:$C&lt;=$C34)))</f>
        <v>34019965.170000002</v>
      </c>
      <c r="S34" s="106">
        <f>ABS(SUMPRODUCT(dados_icms!S:S,-(dados_icms!$B:$B=$B34),-(dados_icms!$C:$C&lt;=$C34)))</f>
        <v>898522.14000000013</v>
      </c>
      <c r="T34" s="106">
        <f>ABS(SUMPRODUCT(dados_icms!T:T,-(dados_icms!$B:$B=$B34),-(dados_icms!$C:$C&lt;=$C34)))</f>
        <v>1713200.4500000002</v>
      </c>
      <c r="U34" s="106">
        <f>ABS(SUMPRODUCT(dados_icms!U:U,-(dados_icms!$B:$B=$B34),-(dados_icms!$C:$C&lt;=$C34)))</f>
        <v>578541.39</v>
      </c>
      <c r="V34" s="106">
        <f>ABS(SUMPRODUCT(dados_icms!V:V,-(dados_icms!$B:$B=$B34),-(dados_icms!$C:$C&lt;=$C34)))</f>
        <v>2768084.4299999997</v>
      </c>
      <c r="W34" s="106">
        <f>ABS(SUMPRODUCT(dados_icms!W:W,-(dados_icms!$B:$B=$B34),-(dados_icms!$C:$C&lt;=$C34)))</f>
        <v>10356448.899999999</v>
      </c>
      <c r="X34" s="106">
        <f>ABS(SUMPRODUCT(dados_icms!X:X,-(dados_icms!$B:$B=$B34),-(dados_icms!$C:$C&lt;=$C34)))</f>
        <v>20429810213.07</v>
      </c>
    </row>
    <row r="35" spans="1:24" x14ac:dyDescent="0.2">
      <c r="A35" s="8" t="str">
        <f>dados_icms!A35</f>
        <v>20198</v>
      </c>
      <c r="B35" s="8">
        <f>dados_icms!B35</f>
        <v>2019</v>
      </c>
      <c r="C35" s="8">
        <f>dados_icms!C35</f>
        <v>8</v>
      </c>
      <c r="D35" s="92">
        <f>dados_icms!D35</f>
        <v>43678</v>
      </c>
      <c r="E35" s="106">
        <f>ABS(SUMPRODUCT(dados_icms!E:E,-(dados_icms!$B:$B=$B35),-(dados_icms!$C:$C&lt;=$C35)))</f>
        <v>5958967.0999999996</v>
      </c>
      <c r="F35" s="106">
        <f>ABS(SUMPRODUCT(dados_icms!F:F,-(dados_icms!$B:$B=$B35),-(dados_icms!$C:$C&lt;=$C35)))</f>
        <v>823403167.01999986</v>
      </c>
      <c r="G35" s="106">
        <f>ABS(SUMPRODUCT(dados_icms!G:G,-(dados_icms!$B:$B=$B35),-(dados_icms!$C:$C&lt;=$C35)))</f>
        <v>7037053153.1400042</v>
      </c>
      <c r="H35" s="106">
        <f>ABS(SUMPRODUCT(dados_icms!H:H,-(dados_icms!$B:$B=$B35),-(dados_icms!$C:$C&lt;=$C35)))</f>
        <v>4435971306.7799997</v>
      </c>
      <c r="I35" s="106">
        <f>ABS(SUMPRODUCT(dados_icms!I:I,-(dados_icms!$B:$B=$B35),-(dados_icms!$C:$C&lt;=$C35)))</f>
        <v>19579743.699999996</v>
      </c>
      <c r="J35" s="106">
        <f>ABS(SUMPRODUCT(dados_icms!J:J,-(dados_icms!$B:$B=$B35),-(dados_icms!$C:$C&lt;=$C35)))</f>
        <v>32545006.210000005</v>
      </c>
      <c r="K35" s="106">
        <f>ABS(SUMPRODUCT(dados_icms!K:K,-(dados_icms!$B:$B=$B35),-(dados_icms!$C:$C&lt;=$C35)))</f>
        <v>7558899416</v>
      </c>
      <c r="L35" s="106">
        <f>ABS(SUMPRODUCT(dados_icms!L:L,-(dados_icms!$B:$B=$B35),-(dados_icms!$C:$C&lt;=$C35)))</f>
        <v>736584505.20999992</v>
      </c>
      <c r="M35" s="106">
        <f>ABS(SUMPRODUCT(dados_icms!M:M,-(dados_icms!$B:$B=$B35),-(dados_icms!$C:$C&lt;=$C35)))</f>
        <v>305862127.46999997</v>
      </c>
      <c r="N35" s="106">
        <f>ABS(SUMPRODUCT(dados_icms!N:N,-(dados_icms!$B:$B=$B35),-(dados_icms!$C:$C&lt;=$C35)))</f>
        <v>2179905363.8100004</v>
      </c>
      <c r="O35" s="106">
        <f>ABS(SUMPRODUCT(dados_icms!O:O,-(dados_icms!$B:$B=$B35),-(dados_icms!$C:$C&lt;=$C35)))</f>
        <v>514019.51</v>
      </c>
      <c r="P35" s="106">
        <f>ABS(SUMPRODUCT(dados_icms!P:P,-(dados_icms!$B:$B=$B35),-(dados_icms!$C:$C&lt;=$C35)))</f>
        <v>103342.75999999998</v>
      </c>
      <c r="Q35" s="106">
        <f>ABS(SUMPRODUCT(dados_icms!Q:Q,-(dados_icms!$B:$B=$B35),-(dados_icms!$C:$C&lt;=$C35)))</f>
        <v>43726995.739999995</v>
      </c>
      <c r="R35" s="106">
        <f>ABS(SUMPRODUCT(dados_icms!R:R,-(dados_icms!$B:$B=$B35),-(dados_icms!$C:$C&lt;=$C35)))</f>
        <v>41307960.379999995</v>
      </c>
      <c r="S35" s="106">
        <f>ABS(SUMPRODUCT(dados_icms!S:S,-(dados_icms!$B:$B=$B35),-(dados_icms!$C:$C&lt;=$C35)))</f>
        <v>1207784.82</v>
      </c>
      <c r="T35" s="106">
        <f>ABS(SUMPRODUCT(dados_icms!T:T,-(dados_icms!$B:$B=$B35),-(dados_icms!$C:$C&lt;=$C35)))</f>
        <v>1920611.4900000002</v>
      </c>
      <c r="U35" s="106">
        <f>ABS(SUMPRODUCT(dados_icms!U:U,-(dados_icms!$B:$B=$B35),-(dados_icms!$C:$C&lt;=$C35)))</f>
        <v>677851.43</v>
      </c>
      <c r="V35" s="106">
        <f>ABS(SUMPRODUCT(dados_icms!V:V,-(dados_icms!$B:$B=$B35),-(dados_icms!$C:$C&lt;=$C35)))</f>
        <v>3225560.9499999997</v>
      </c>
      <c r="W35" s="106">
        <f>ABS(SUMPRODUCT(dados_icms!W:W,-(dados_icms!$B:$B=$B35),-(dados_icms!$C:$C&lt;=$C35)))</f>
        <v>11634988.369999999</v>
      </c>
      <c r="X35" s="106">
        <f>ABS(SUMPRODUCT(dados_icms!X:X,-(dados_icms!$B:$B=$B35),-(dados_icms!$C:$C&lt;=$C35)))</f>
        <v>23240081871.889999</v>
      </c>
    </row>
    <row r="36" spans="1:24" x14ac:dyDescent="0.2">
      <c r="A36" s="8" t="str">
        <f>dados_icms!A36</f>
        <v>20199</v>
      </c>
      <c r="B36" s="8">
        <f>dados_icms!B36</f>
        <v>2019</v>
      </c>
      <c r="C36" s="8">
        <f>dados_icms!C36</f>
        <v>9</v>
      </c>
      <c r="D36" s="92">
        <f>dados_icms!D36</f>
        <v>43709</v>
      </c>
      <c r="E36" s="106">
        <f>ABS(SUMPRODUCT(dados_icms!E:E,-(dados_icms!$B:$B=$B36),-(dados_icms!$C:$C&lt;=$C36)))</f>
        <v>6309403.0599999996</v>
      </c>
      <c r="F36" s="106">
        <f>ABS(SUMPRODUCT(dados_icms!F:F,-(dados_icms!$B:$B=$B36),-(dados_icms!$C:$C&lt;=$C36)))</f>
        <v>896188186.2099998</v>
      </c>
      <c r="G36" s="106">
        <f>ABS(SUMPRODUCT(dados_icms!G:G,-(dados_icms!$B:$B=$B36),-(dados_icms!$C:$C&lt;=$C36)))</f>
        <v>7950306882.3900042</v>
      </c>
      <c r="H36" s="106">
        <f>ABS(SUMPRODUCT(dados_icms!H:H,-(dados_icms!$B:$B=$B36),-(dados_icms!$C:$C&lt;=$C36)))</f>
        <v>4873319024.5699997</v>
      </c>
      <c r="I36" s="106">
        <f>ABS(SUMPRODUCT(dados_icms!I:I,-(dados_icms!$B:$B=$B36),-(dados_icms!$C:$C&lt;=$C36)))</f>
        <v>22483704.949999996</v>
      </c>
      <c r="J36" s="106">
        <f>ABS(SUMPRODUCT(dados_icms!J:J,-(dados_icms!$B:$B=$B36),-(dados_icms!$C:$C&lt;=$C36)))</f>
        <v>36839662.890000001</v>
      </c>
      <c r="K36" s="106">
        <f>ABS(SUMPRODUCT(dados_icms!K:K,-(dados_icms!$B:$B=$B36),-(dados_icms!$C:$C&lt;=$C36)))</f>
        <v>8496383715.0799999</v>
      </c>
      <c r="L36" s="106">
        <f>ABS(SUMPRODUCT(dados_icms!L:L,-(dados_icms!$B:$B=$B36),-(dados_icms!$C:$C&lt;=$C36)))</f>
        <v>1058694998.6899998</v>
      </c>
      <c r="M36" s="106">
        <f>ABS(SUMPRODUCT(dados_icms!M:M,-(dados_icms!$B:$B=$B36),-(dados_icms!$C:$C&lt;=$C36)))</f>
        <v>342476969</v>
      </c>
      <c r="N36" s="106">
        <f>ABS(SUMPRODUCT(dados_icms!N:N,-(dados_icms!$B:$B=$B36),-(dados_icms!$C:$C&lt;=$C36)))</f>
        <v>2427924424.5400004</v>
      </c>
      <c r="O36" s="106">
        <f>ABS(SUMPRODUCT(dados_icms!O:O,-(dados_icms!$B:$B=$B36),-(dados_icms!$C:$C&lt;=$C36)))</f>
        <v>902799.26</v>
      </c>
      <c r="P36" s="106">
        <f>ABS(SUMPRODUCT(dados_icms!P:P,-(dados_icms!$B:$B=$B36),-(dados_icms!$C:$C&lt;=$C36)))</f>
        <v>122881.13999999998</v>
      </c>
      <c r="Q36" s="106">
        <f>ABS(SUMPRODUCT(dados_icms!Q:Q,-(dados_icms!$B:$B=$B36),-(dados_icms!$C:$C&lt;=$C36)))</f>
        <v>48867956.329999998</v>
      </c>
      <c r="R36" s="106">
        <f>ABS(SUMPRODUCT(dados_icms!R:R,-(dados_icms!$B:$B=$B36),-(dados_icms!$C:$C&lt;=$C36)))</f>
        <v>46247620.849999994</v>
      </c>
      <c r="S36" s="106">
        <f>ABS(SUMPRODUCT(dados_icms!S:S,-(dados_icms!$B:$B=$B36),-(dados_icms!$C:$C&lt;=$C36)))</f>
        <v>1209304.26</v>
      </c>
      <c r="T36" s="106">
        <f>ABS(SUMPRODUCT(dados_icms!T:T,-(dados_icms!$B:$B=$B36),-(dados_icms!$C:$C&lt;=$C36)))</f>
        <v>2151687.33</v>
      </c>
      <c r="U36" s="106">
        <f>ABS(SUMPRODUCT(dados_icms!U:U,-(dados_icms!$B:$B=$B36),-(dados_icms!$C:$C&lt;=$C36)))</f>
        <v>761117.06</v>
      </c>
      <c r="V36" s="106">
        <f>ABS(SUMPRODUCT(dados_icms!V:V,-(dados_icms!$B:$B=$B36),-(dados_icms!$C:$C&lt;=$C36)))</f>
        <v>3591075.6399999997</v>
      </c>
      <c r="W36" s="106">
        <f>ABS(SUMPRODUCT(dados_icms!W:W,-(dados_icms!$B:$B=$B36),-(dados_icms!$C:$C&lt;=$C36)))</f>
        <v>13098578.18</v>
      </c>
      <c r="X36" s="106">
        <f>ABS(SUMPRODUCT(dados_icms!X:X,-(dados_icms!$B:$B=$B36),-(dados_icms!$C:$C&lt;=$C36)))</f>
        <v>26227879991.43</v>
      </c>
    </row>
    <row r="37" spans="1:24" x14ac:dyDescent="0.2">
      <c r="A37" s="8" t="str">
        <f>dados_icms!A37</f>
        <v>201910</v>
      </c>
      <c r="B37" s="8">
        <f>dados_icms!B37</f>
        <v>2019</v>
      </c>
      <c r="C37" s="8">
        <f>dados_icms!C37</f>
        <v>10</v>
      </c>
      <c r="D37" s="92">
        <f>dados_icms!D37</f>
        <v>43739</v>
      </c>
      <c r="E37" s="106">
        <f>ABS(SUMPRODUCT(dados_icms!E:E,-(dados_icms!$B:$B=$B37),-(dados_icms!$C:$C&lt;=$C37)))</f>
        <v>6570211.4699999997</v>
      </c>
      <c r="F37" s="106">
        <f>ABS(SUMPRODUCT(dados_icms!F:F,-(dados_icms!$B:$B=$B37),-(dados_icms!$C:$C&lt;=$C37)))</f>
        <v>983041611.25999975</v>
      </c>
      <c r="G37" s="106">
        <f>ABS(SUMPRODUCT(dados_icms!G:G,-(dados_icms!$B:$B=$B37),-(dados_icms!$C:$C&lt;=$C37)))</f>
        <v>8932413441.3800049</v>
      </c>
      <c r="H37" s="106">
        <f>ABS(SUMPRODUCT(dados_icms!H:H,-(dados_icms!$B:$B=$B37),-(dados_icms!$C:$C&lt;=$C37)))</f>
        <v>5482234647.6599998</v>
      </c>
      <c r="I37" s="106">
        <f>ABS(SUMPRODUCT(dados_icms!I:I,-(dados_icms!$B:$B=$B37),-(dados_icms!$C:$C&lt;=$C37)))</f>
        <v>27164679.899999995</v>
      </c>
      <c r="J37" s="106">
        <f>ABS(SUMPRODUCT(dados_icms!J:J,-(dados_icms!$B:$B=$B37),-(dados_icms!$C:$C&lt;=$C37)))</f>
        <v>42006435.079999998</v>
      </c>
      <c r="K37" s="106">
        <f>ABS(SUMPRODUCT(dados_icms!K:K,-(dados_icms!$B:$B=$B37),-(dados_icms!$C:$C&lt;=$C37)))</f>
        <v>9383469301.3900013</v>
      </c>
      <c r="L37" s="106">
        <f>ABS(SUMPRODUCT(dados_icms!L:L,-(dados_icms!$B:$B=$B37),-(dados_icms!$C:$C&lt;=$C37)))</f>
        <v>1160044106.3399999</v>
      </c>
      <c r="M37" s="106">
        <f>ABS(SUMPRODUCT(dados_icms!M:M,-(dados_icms!$B:$B=$B37),-(dados_icms!$C:$C&lt;=$C37)))</f>
        <v>379299701.80000001</v>
      </c>
      <c r="N37" s="106">
        <f>ABS(SUMPRODUCT(dados_icms!N:N,-(dados_icms!$B:$B=$B37),-(dados_icms!$C:$C&lt;=$C37)))</f>
        <v>2696921966.4300003</v>
      </c>
      <c r="O37" s="106">
        <f>ABS(SUMPRODUCT(dados_icms!O:O,-(dados_icms!$B:$B=$B37),-(dados_icms!$C:$C&lt;=$C37)))</f>
        <v>983454.80999999994</v>
      </c>
      <c r="P37" s="106">
        <f>ABS(SUMPRODUCT(dados_icms!P:P,-(dados_icms!$B:$B=$B37),-(dados_icms!$C:$C&lt;=$C37)))</f>
        <v>156698.28999999998</v>
      </c>
      <c r="Q37" s="106">
        <f>ABS(SUMPRODUCT(dados_icms!Q:Q,-(dados_icms!$B:$B=$B37),-(dados_icms!$C:$C&lt;=$C37)))</f>
        <v>60053666.530000001</v>
      </c>
      <c r="R37" s="106">
        <f>ABS(SUMPRODUCT(dados_icms!R:R,-(dados_icms!$B:$B=$B37),-(dados_icms!$C:$C&lt;=$C37)))</f>
        <v>50701588.579999991</v>
      </c>
      <c r="S37" s="106">
        <f>ABS(SUMPRODUCT(dados_icms!S:S,-(dados_icms!$B:$B=$B37),-(dados_icms!$C:$C&lt;=$C37)))</f>
        <v>1286964.57</v>
      </c>
      <c r="T37" s="106">
        <f>ABS(SUMPRODUCT(dados_icms!T:T,-(dados_icms!$B:$B=$B37),-(dados_icms!$C:$C&lt;=$C37)))</f>
        <v>2331914.92</v>
      </c>
      <c r="U37" s="106">
        <f>ABS(SUMPRODUCT(dados_icms!U:U,-(dados_icms!$B:$B=$B37),-(dados_icms!$C:$C&lt;=$C37)))</f>
        <v>906262.25</v>
      </c>
      <c r="V37" s="106">
        <f>ABS(SUMPRODUCT(dados_icms!V:V,-(dados_icms!$B:$B=$B37),-(dados_icms!$C:$C&lt;=$C37)))</f>
        <v>4242013.9799999995</v>
      </c>
      <c r="W37" s="106">
        <f>ABS(SUMPRODUCT(dados_icms!W:W,-(dados_icms!$B:$B=$B37),-(dados_icms!$C:$C&lt;=$C37)))</f>
        <v>14614916.729999999</v>
      </c>
      <c r="X37" s="106">
        <f>ABS(SUMPRODUCT(dados_icms!X:X,-(dados_icms!$B:$B=$B37),-(dados_icms!$C:$C&lt;=$C37)))</f>
        <v>29228443583.370003</v>
      </c>
    </row>
    <row r="38" spans="1:24" x14ac:dyDescent="0.2">
      <c r="A38" s="8" t="str">
        <f>dados_icms!A38</f>
        <v>201911</v>
      </c>
      <c r="B38" s="8">
        <f>dados_icms!B38</f>
        <v>2019</v>
      </c>
      <c r="C38" s="8">
        <f>dados_icms!C38</f>
        <v>11</v>
      </c>
      <c r="D38" s="92">
        <f>dados_icms!D38</f>
        <v>43770</v>
      </c>
      <c r="E38" s="106">
        <f>ABS(SUMPRODUCT(dados_icms!E:E,-(dados_icms!$B:$B=$B38),-(dados_icms!$C:$C&lt;=$C38)))</f>
        <v>7011573.1299999999</v>
      </c>
      <c r="F38" s="106">
        <f>ABS(SUMPRODUCT(dados_icms!F:F,-(dados_icms!$B:$B=$B38),-(dados_icms!$C:$C&lt;=$C38)))</f>
        <v>1050869707.2099998</v>
      </c>
      <c r="G38" s="106">
        <f>ABS(SUMPRODUCT(dados_icms!G:G,-(dados_icms!$B:$B=$B38),-(dados_icms!$C:$C&lt;=$C38)))</f>
        <v>9808036083.3700047</v>
      </c>
      <c r="H38" s="106">
        <f>ABS(SUMPRODUCT(dados_icms!H:H,-(dados_icms!$B:$B=$B38),-(dados_icms!$C:$C&lt;=$C38)))</f>
        <v>6061703936.5</v>
      </c>
      <c r="I38" s="106">
        <f>ABS(SUMPRODUCT(dados_icms!I:I,-(dados_icms!$B:$B=$B38),-(dados_icms!$C:$C&lt;=$C38)))</f>
        <v>29721811.949999996</v>
      </c>
      <c r="J38" s="106">
        <f>ABS(SUMPRODUCT(dados_icms!J:J,-(dados_icms!$B:$B=$B38),-(dados_icms!$C:$C&lt;=$C38)))</f>
        <v>48244439.859999999</v>
      </c>
      <c r="K38" s="106">
        <f>ABS(SUMPRODUCT(dados_icms!K:K,-(dados_icms!$B:$B=$B38),-(dados_icms!$C:$C&lt;=$C38)))</f>
        <v>10406756161.550001</v>
      </c>
      <c r="L38" s="106">
        <f>ABS(SUMPRODUCT(dados_icms!L:L,-(dados_icms!$B:$B=$B38),-(dados_icms!$C:$C&lt;=$C38)))</f>
        <v>1263655070.05</v>
      </c>
      <c r="M38" s="106">
        <f>ABS(SUMPRODUCT(dados_icms!M:M,-(dados_icms!$B:$B=$B38),-(dados_icms!$C:$C&lt;=$C38)))</f>
        <v>417491591.98000002</v>
      </c>
      <c r="N38" s="106">
        <f>ABS(SUMPRODUCT(dados_icms!N:N,-(dados_icms!$B:$B=$B38),-(dados_icms!$C:$C&lt;=$C38)))</f>
        <v>2976594037.0500002</v>
      </c>
      <c r="O38" s="106">
        <f>ABS(SUMPRODUCT(dados_icms!O:O,-(dados_icms!$B:$B=$B38),-(dados_icms!$C:$C&lt;=$C38)))</f>
        <v>1322458.18</v>
      </c>
      <c r="P38" s="106">
        <f>ABS(SUMPRODUCT(dados_icms!P:P,-(dados_icms!$B:$B=$B38),-(dados_icms!$C:$C&lt;=$C38)))</f>
        <v>171921.18999999997</v>
      </c>
      <c r="Q38" s="106">
        <f>ABS(SUMPRODUCT(dados_icms!Q:Q,-(dados_icms!$B:$B=$B38),-(dados_icms!$C:$C&lt;=$C38)))</f>
        <v>67120576.859999999</v>
      </c>
      <c r="R38" s="106">
        <f>ABS(SUMPRODUCT(dados_icms!R:R,-(dados_icms!$B:$B=$B38),-(dados_icms!$C:$C&lt;=$C38)))</f>
        <v>56739999.339999989</v>
      </c>
      <c r="S38" s="106">
        <f>ABS(SUMPRODUCT(dados_icms!S:S,-(dados_icms!$B:$B=$B38),-(dados_icms!$C:$C&lt;=$C38)))</f>
        <v>1287547.23</v>
      </c>
      <c r="T38" s="106">
        <f>ABS(SUMPRODUCT(dados_icms!T:T,-(dados_icms!$B:$B=$B38),-(dados_icms!$C:$C&lt;=$C38)))</f>
        <v>2508400.0099999998</v>
      </c>
      <c r="U38" s="106">
        <f>ABS(SUMPRODUCT(dados_icms!U:U,-(dados_icms!$B:$B=$B38),-(dados_icms!$C:$C&lt;=$C38)))</f>
        <v>1022297.3400000001</v>
      </c>
      <c r="V38" s="106">
        <f>ABS(SUMPRODUCT(dados_icms!V:V,-(dados_icms!$B:$B=$B38),-(dados_icms!$C:$C&lt;=$C38)))</f>
        <v>4736917.8299999991</v>
      </c>
      <c r="W38" s="106">
        <f>ABS(SUMPRODUCT(dados_icms!W:W,-(dados_icms!$B:$B=$B38),-(dados_icms!$C:$C&lt;=$C38)))</f>
        <v>16199480.209999999</v>
      </c>
      <c r="X38" s="106">
        <f>ABS(SUMPRODUCT(dados_icms!X:X,-(dados_icms!$B:$B=$B38),-(dados_icms!$C:$C&lt;=$C38)))</f>
        <v>32221194010.840004</v>
      </c>
    </row>
    <row r="39" spans="1:24" x14ac:dyDescent="0.2">
      <c r="A39" s="8" t="str">
        <f>dados_icms!A39</f>
        <v>201912</v>
      </c>
      <c r="B39" s="8">
        <f>dados_icms!B39</f>
        <v>2019</v>
      </c>
      <c r="C39" s="8">
        <f>dados_icms!C39</f>
        <v>12</v>
      </c>
      <c r="D39" s="92">
        <f>dados_icms!D39</f>
        <v>43800</v>
      </c>
      <c r="E39" s="106">
        <f>ABS(SUMPRODUCT(dados_icms!E:E,-(dados_icms!$B:$B=$B39),-(dados_icms!$C:$C&lt;=$C39)))</f>
        <v>7298797.0599999996</v>
      </c>
      <c r="F39" s="106">
        <f>ABS(SUMPRODUCT(dados_icms!F:F,-(dados_icms!$B:$B=$B39),-(dados_icms!$C:$C&lt;=$C39)))</f>
        <v>1284044836.48</v>
      </c>
      <c r="G39" s="106">
        <f>ABS(SUMPRODUCT(dados_icms!G:G,-(dados_icms!$B:$B=$B39),-(dados_icms!$C:$C&lt;=$C39)))</f>
        <v>10774660671.570005</v>
      </c>
      <c r="H39" s="106">
        <f>ABS(SUMPRODUCT(dados_icms!H:H,-(dados_icms!$B:$B=$B39),-(dados_icms!$C:$C&lt;=$C39)))</f>
        <v>6679583489.0199995</v>
      </c>
      <c r="I39" s="106">
        <f>ABS(SUMPRODUCT(dados_icms!I:I,-(dados_icms!$B:$B=$B39),-(dados_icms!$C:$C&lt;=$C39)))</f>
        <v>32645222.329999994</v>
      </c>
      <c r="J39" s="106">
        <f>ABS(SUMPRODUCT(dados_icms!J:J,-(dados_icms!$B:$B=$B39),-(dados_icms!$C:$C&lt;=$C39)))</f>
        <v>52247345.049999997</v>
      </c>
      <c r="K39" s="106">
        <f>ABS(SUMPRODUCT(dados_icms!K:K,-(dados_icms!$B:$B=$B39),-(dados_icms!$C:$C&lt;=$C39)))</f>
        <v>11493326167.120001</v>
      </c>
      <c r="L39" s="106">
        <f>ABS(SUMPRODUCT(dados_icms!L:L,-(dados_icms!$B:$B=$B39),-(dados_icms!$C:$C&lt;=$C39)))</f>
        <v>1357789087.48</v>
      </c>
      <c r="M39" s="106">
        <f>ABS(SUMPRODUCT(dados_icms!M:M,-(dados_icms!$B:$B=$B39),-(dados_icms!$C:$C&lt;=$C39)))</f>
        <v>455695251.21000004</v>
      </c>
      <c r="N39" s="106">
        <f>ABS(SUMPRODUCT(dados_icms!N:N,-(dados_icms!$B:$B=$B39),-(dados_icms!$C:$C&lt;=$C39)))</f>
        <v>3246483119.9200001</v>
      </c>
      <c r="O39" s="106">
        <f>ABS(SUMPRODUCT(dados_icms!O:O,-(dados_icms!$B:$B=$B39),-(dados_icms!$C:$C&lt;=$C39)))</f>
        <v>1391007.89</v>
      </c>
      <c r="P39" s="106">
        <f>ABS(SUMPRODUCT(dados_icms!P:P,-(dados_icms!$B:$B=$B39),-(dados_icms!$C:$C&lt;=$C39)))</f>
        <v>202080.58999999997</v>
      </c>
      <c r="Q39" s="106">
        <f>ABS(SUMPRODUCT(dados_icms!Q:Q,-(dados_icms!$B:$B=$B39),-(dados_icms!$C:$C&lt;=$C39)))</f>
        <v>75888697.810000002</v>
      </c>
      <c r="R39" s="106">
        <f>ABS(SUMPRODUCT(dados_icms!R:R,-(dados_icms!$B:$B=$B39),-(dados_icms!$C:$C&lt;=$C39)))</f>
        <v>62198173.329999991</v>
      </c>
      <c r="S39" s="106">
        <f>ABS(SUMPRODUCT(dados_icms!S:S,-(dados_icms!$B:$B=$B39),-(dados_icms!$C:$C&lt;=$C39)))</f>
        <v>1288162.57</v>
      </c>
      <c r="T39" s="106">
        <f>ABS(SUMPRODUCT(dados_icms!T:T,-(dados_icms!$B:$B=$B39),-(dados_icms!$C:$C&lt;=$C39)))</f>
        <v>2725780.2699999996</v>
      </c>
      <c r="U39" s="106">
        <f>ABS(SUMPRODUCT(dados_icms!U:U,-(dados_icms!$B:$B=$B39),-(dados_icms!$C:$C&lt;=$C39)))</f>
        <v>1113775.3</v>
      </c>
      <c r="V39" s="106">
        <f>ABS(SUMPRODUCT(dados_icms!V:V,-(dados_icms!$B:$B=$B39),-(dados_icms!$C:$C&lt;=$C39)))</f>
        <v>5183737.419999999</v>
      </c>
      <c r="W39" s="106">
        <f>ABS(SUMPRODUCT(dados_icms!W:W,-(dados_icms!$B:$B=$B39),-(dados_icms!$C:$C&lt;=$C39)))</f>
        <v>17725569.559999999</v>
      </c>
      <c r="X39" s="106">
        <f>ABS(SUMPRODUCT(dados_icms!X:X,-(dados_icms!$B:$B=$B39),-(dados_icms!$C:$C&lt;=$C39)))</f>
        <v>35551490971.980003</v>
      </c>
    </row>
    <row r="40" spans="1:24" x14ac:dyDescent="0.2">
      <c r="A40" s="8">
        <f>dados_icms!A40</f>
        <v>0</v>
      </c>
      <c r="B40" s="8">
        <f>dados_icms!B40</f>
        <v>0</v>
      </c>
      <c r="C40" s="8">
        <f>dados_icms!C40</f>
        <v>0</v>
      </c>
      <c r="D40" s="92">
        <f>dados_icms!D40</f>
        <v>0</v>
      </c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</row>
    <row r="41" spans="1:24" x14ac:dyDescent="0.2">
      <c r="A41" s="8">
        <f>dados_icms!A41</f>
        <v>0</v>
      </c>
      <c r="B41" s="8">
        <f>dados_icms!B41</f>
        <v>0</v>
      </c>
      <c r="C41" s="8">
        <f>dados_icms!C41</f>
        <v>0</v>
      </c>
      <c r="D41" s="92">
        <f>dados_icms!D41</f>
        <v>0</v>
      </c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</row>
    <row r="42" spans="1:24" x14ac:dyDescent="0.2">
      <c r="A42" s="8">
        <f>dados_icms!A42</f>
        <v>0</v>
      </c>
      <c r="B42" s="8">
        <f>dados_icms!B42</f>
        <v>0</v>
      </c>
      <c r="C42" s="8">
        <f>dados_icms!C42</f>
        <v>0</v>
      </c>
      <c r="D42" s="92">
        <f>dados_icms!D42</f>
        <v>0</v>
      </c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</row>
    <row r="43" spans="1:24" x14ac:dyDescent="0.2">
      <c r="A43" s="8">
        <f>dados_icms!A43</f>
        <v>0</v>
      </c>
      <c r="B43" s="8">
        <f>dados_icms!B43</f>
        <v>0</v>
      </c>
      <c r="C43" s="8">
        <f>dados_icms!C43</f>
        <v>0</v>
      </c>
      <c r="D43" s="92">
        <f>dados_icms!D43</f>
        <v>0</v>
      </c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</row>
    <row r="44" spans="1:24" x14ac:dyDescent="0.2">
      <c r="A44" s="8">
        <f>dados_icms!A44</f>
        <v>0</v>
      </c>
      <c r="B44" s="8">
        <f>dados_icms!B44</f>
        <v>0</v>
      </c>
      <c r="C44" s="8">
        <f>dados_icms!C44</f>
        <v>0</v>
      </c>
      <c r="D44" s="92">
        <f>dados_icms!D44</f>
        <v>0</v>
      </c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</row>
    <row r="45" spans="1:24" x14ac:dyDescent="0.2">
      <c r="A45" s="8">
        <f>dados_icms!A45</f>
        <v>0</v>
      </c>
      <c r="B45" s="8">
        <f>dados_icms!B45</f>
        <v>0</v>
      </c>
      <c r="C45" s="8">
        <f>dados_icms!C45</f>
        <v>0</v>
      </c>
      <c r="D45" s="92">
        <f>dados_icms!D45</f>
        <v>0</v>
      </c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</row>
    <row r="46" spans="1:24" x14ac:dyDescent="0.2">
      <c r="A46" s="8">
        <f>dados_icms!A46</f>
        <v>0</v>
      </c>
      <c r="B46" s="8">
        <f>dados_icms!B46</f>
        <v>0</v>
      </c>
      <c r="C46" s="8">
        <f>dados_icms!C46</f>
        <v>0</v>
      </c>
      <c r="D46" s="92">
        <f>dados_icms!D46</f>
        <v>0</v>
      </c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</row>
    <row r="47" spans="1:24" x14ac:dyDescent="0.2">
      <c r="A47" s="8">
        <f>dados_icms!A47</f>
        <v>0</v>
      </c>
      <c r="B47" s="8">
        <f>dados_icms!B47</f>
        <v>0</v>
      </c>
      <c r="C47" s="8">
        <f>dados_icms!C47</f>
        <v>0</v>
      </c>
      <c r="D47" s="92">
        <f>dados_icms!D47</f>
        <v>0</v>
      </c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</row>
  </sheetData>
  <mergeCells count="1">
    <mergeCell ref="E2:X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showGridLines="0" workbookViewId="0">
      <selection activeCell="A2" sqref="A2"/>
    </sheetView>
  </sheetViews>
  <sheetFormatPr defaultRowHeight="15" x14ac:dyDescent="0.25"/>
  <cols>
    <col min="1" max="1" width="40.5703125" customWidth="1"/>
    <col min="2" max="2" width="16.42578125" customWidth="1"/>
    <col min="3" max="3" width="15.140625" customWidth="1"/>
    <col min="4" max="4" width="18.85546875" customWidth="1"/>
    <col min="5" max="5" width="19.28515625" customWidth="1"/>
    <col min="6" max="6" width="19.42578125" customWidth="1"/>
    <col min="7" max="7" width="16.85546875" customWidth="1"/>
    <col min="8" max="8" width="16.42578125" customWidth="1"/>
    <col min="9" max="9" width="19.85546875" customWidth="1"/>
    <col min="10" max="10" width="1" customWidth="1"/>
    <col min="11" max="11" width="2" customWidth="1"/>
    <col min="12" max="12" width="7.140625" customWidth="1"/>
    <col min="14" max="14" width="15.42578125" customWidth="1"/>
  </cols>
  <sheetData>
    <row r="1" spans="1:14" ht="24" thickBot="1" x14ac:dyDescent="0.4">
      <c r="A1" s="170" t="s">
        <v>68</v>
      </c>
      <c r="B1" s="170"/>
      <c r="C1" s="170"/>
      <c r="D1" s="170"/>
      <c r="E1" s="170"/>
      <c r="F1" s="170"/>
      <c r="G1" s="170"/>
      <c r="H1" s="170"/>
      <c r="I1" s="170"/>
      <c r="J1" s="5"/>
      <c r="K1" s="5"/>
    </row>
    <row r="2" spans="1:14" ht="16.5" thickBot="1" x14ac:dyDescent="0.3">
      <c r="J2" s="5"/>
      <c r="K2" s="5"/>
      <c r="L2" s="164" t="s">
        <v>38</v>
      </c>
      <c r="M2" s="165"/>
      <c r="N2" s="166"/>
    </row>
    <row r="3" spans="1:14" ht="16.5" thickBot="1" x14ac:dyDescent="0.3">
      <c r="A3" s="193"/>
      <c r="B3" s="194"/>
      <c r="C3" s="194"/>
      <c r="D3" s="194"/>
      <c r="E3" s="194"/>
      <c r="F3" s="194"/>
      <c r="G3" s="194"/>
      <c r="H3" s="194"/>
      <c r="I3" s="195"/>
      <c r="J3" s="5"/>
      <c r="K3" s="5"/>
      <c r="L3" s="167">
        <v>43800</v>
      </c>
      <c r="M3" s="168"/>
      <c r="N3" s="169"/>
    </row>
    <row r="4" spans="1:14" ht="24.75" customHeight="1" x14ac:dyDescent="0.25">
      <c r="A4" s="174" t="s">
        <v>69</v>
      </c>
      <c r="B4" s="196" t="s">
        <v>74</v>
      </c>
      <c r="C4" s="197"/>
      <c r="D4" s="197"/>
      <c r="E4" s="197"/>
      <c r="F4" s="198"/>
      <c r="G4" s="196" t="s">
        <v>20</v>
      </c>
      <c r="H4" s="197"/>
      <c r="I4" s="198"/>
      <c r="J4" s="5"/>
      <c r="K4" s="5"/>
      <c r="L4" s="5"/>
      <c r="M4" s="5"/>
      <c r="N4" s="5"/>
    </row>
    <row r="5" spans="1:14" ht="45" x14ac:dyDescent="0.25">
      <c r="A5" s="175"/>
      <c r="B5" s="107" t="s">
        <v>33</v>
      </c>
      <c r="C5" s="107" t="s">
        <v>34</v>
      </c>
      <c r="D5" s="107" t="s">
        <v>35</v>
      </c>
      <c r="E5" s="107" t="s">
        <v>36</v>
      </c>
      <c r="F5" s="107" t="s">
        <v>37</v>
      </c>
      <c r="G5" s="199" t="str">
        <f>CONCATENATE("Variação do mês de ",(TEXT(B6,"MMMM"))&amp;" de "&amp;YEAR(B6)&amp;" /  "&amp;"mês anterior: "&amp;(TEXT(B6-1,"MMMM")))</f>
        <v>Variação do mês de dezembro de 2019 /  mês anterior: novembro</v>
      </c>
      <c r="H5" s="199" t="str">
        <f>CONCATENATE("Variação do mês de "&amp;(TEXT(B6,"MMMM")&amp;" de "&amp;YEAR(B6))&amp;" / ",(TEXT(B6,"MMMM")&amp;" do ano anterior"))</f>
        <v>Variação do mês de dezembro de 2019 / dezembro do ano anterior</v>
      </c>
      <c r="I5" s="199" t="str">
        <f>CONCATENATE("Variação de "&amp;YEAR(L3)&amp;" acumulado até "&amp;(TEXT(L3,"MMMM"))&amp;" / ano anterior "&amp;"acumulado até "&amp;(TEXT(L3,"MMMM")))</f>
        <v>Variação de 2019 acumulado até dezembro / ano anterior acumulado até dezembro</v>
      </c>
      <c r="J5" s="5"/>
      <c r="K5" s="5"/>
      <c r="L5" s="5"/>
      <c r="M5" s="5"/>
      <c r="N5" s="5"/>
    </row>
    <row r="6" spans="1:14" ht="60.75" customHeight="1" thickBot="1" x14ac:dyDescent="0.3">
      <c r="A6" s="175"/>
      <c r="B6" s="108">
        <f>L3</f>
        <v>43800</v>
      </c>
      <c r="C6" s="108">
        <f>EDATE(L3,-1)</f>
        <v>43770</v>
      </c>
      <c r="D6" s="108">
        <f>EDATE(L3,-12)</f>
        <v>43435</v>
      </c>
      <c r="E6" s="109" t="str">
        <f>CONCATENATE("Ano de "&amp;YEAR(B6)&amp;" acumulado até "&amp;(TEXT(B6,"MMMM")))</f>
        <v>Ano de 2019 acumulado até dezembro</v>
      </c>
      <c r="F6" s="109" t="str">
        <f>CONCATENATE("Ano de "&amp;(YEAR(D6)&amp;" acumulado até "&amp;(TEXT(D6,"MMMM"))))</f>
        <v>Ano de 2018 acumulado até dezembro</v>
      </c>
      <c r="G6" s="200"/>
      <c r="H6" s="200"/>
      <c r="I6" s="200"/>
      <c r="J6" s="5"/>
      <c r="K6" s="5"/>
      <c r="L6" s="5"/>
      <c r="M6" s="5"/>
      <c r="N6" s="5"/>
    </row>
    <row r="7" spans="1:14" ht="30" x14ac:dyDescent="0.25">
      <c r="A7" s="117" t="s">
        <v>44</v>
      </c>
      <c r="B7" s="118">
        <f>VLOOKUP(YEAR($L$3)&amp;MONTH($L$3),dados_icms!$A$4:$X$14162,5,FALSE)</f>
        <v>287223.93</v>
      </c>
      <c r="C7" s="118">
        <f>IFERROR(VLOOKUP(YEAR($C$6)&amp;MONTH($C$6),dados_icms!$A$4:$X$14162,5,FALSE),"-")</f>
        <v>441361.66000000003</v>
      </c>
      <c r="D7" s="118">
        <f>IFERROR(VLOOKUP(YEAR($D$6)&amp;MONTH($D$6),dados_icms!$A$4:$X$14162,5,FALSE),"-")</f>
        <v>836683.28000000026</v>
      </c>
      <c r="E7" s="118">
        <f>VLOOKUP(YEAR($L$3)&amp;MONTH($L$3),icms_acumulados!$A$4:$AE$15000,5,FALSE)</f>
        <v>7298797.0599999996</v>
      </c>
      <c r="F7" s="118">
        <f>IFERROR(VLOOKUP(YEAR($D$6)&amp;MONTH($D$6),icms_acumulados!$A$2:$AE$15000,5,FALSE),"-")</f>
        <v>8612063.0700000003</v>
      </c>
      <c r="G7" s="119">
        <f t="shared" ref="G7:G8" si="0">IFERROR((B7-C7)/C7 * 100,"-")</f>
        <v>-34.92322600019223</v>
      </c>
      <c r="H7" s="119">
        <f t="shared" ref="H7:H8" si="1">IFERROR((B7-D7)/D7*100,"-")</f>
        <v>-65.671128267317613</v>
      </c>
      <c r="I7" s="120">
        <f t="shared" ref="I7:I8" si="2">IFERROR((E7-F7)/F7 *100,"-")</f>
        <v>-15.249145289875363</v>
      </c>
      <c r="J7" s="5"/>
      <c r="K7" s="5"/>
      <c r="L7" s="5"/>
      <c r="M7" s="5"/>
      <c r="N7" s="5"/>
    </row>
    <row r="8" spans="1:14" ht="15.75" x14ac:dyDescent="0.25">
      <c r="A8" s="56" t="s">
        <v>45</v>
      </c>
      <c r="B8" s="114">
        <f>VLOOKUP(YEAR($L$3)&amp;MONTH($L$3),dados_icms!$A$4:$X$14162,6,FALSE)</f>
        <v>233175129.2700001</v>
      </c>
      <c r="C8" s="114">
        <f>IFERROR(VLOOKUP(YEAR($C$6)&amp;MONTH($C$6),dados_icms!$A$4:$X$14162,6,FALSE),"-")</f>
        <v>67828095.950000003</v>
      </c>
      <c r="D8" s="114">
        <f>IFERROR(VLOOKUP(YEAR($D$6)&amp;MONTH($D$6),dados_icms!$A$4:$X$14162,6,FALSE),"-")</f>
        <v>73060611.25999999</v>
      </c>
      <c r="E8" s="114">
        <f>VLOOKUP(YEAR($L$3)&amp;MONTH($L$3),icms_acumulados!$A$4:$AE$15000,6,FALSE)</f>
        <v>1284044836.48</v>
      </c>
      <c r="F8" s="114">
        <f>IFERROR(VLOOKUP(YEAR($D$6)&amp;MONTH($D$6),icms_acumulados!$A$2:$AE$15000,6,FALSE),"-")</f>
        <v>2329936729.5900002</v>
      </c>
      <c r="G8" s="115">
        <f t="shared" si="0"/>
        <v>243.77366193780071</v>
      </c>
      <c r="H8" s="115">
        <f t="shared" si="1"/>
        <v>219.15299536737018</v>
      </c>
      <c r="I8" s="116">
        <f t="shared" si="2"/>
        <v>-44.889283036198421</v>
      </c>
      <c r="J8" s="5"/>
      <c r="K8" s="5"/>
      <c r="L8" s="5"/>
      <c r="M8" s="5"/>
      <c r="N8" s="5"/>
    </row>
    <row r="9" spans="1:14" ht="15.75" x14ac:dyDescent="0.25">
      <c r="A9" s="123" t="s">
        <v>46</v>
      </c>
      <c r="B9" s="121">
        <f>VLOOKUP(YEAR($L$3)&amp;MONTH($L$3),dados_icms!$A$4:$X$14162,7,FALSE)</f>
        <v>966624588.20000029</v>
      </c>
      <c r="C9" s="121">
        <f>IFERROR(VLOOKUP(YEAR($C$6)&amp;MONTH($C$6),dados_icms!$A$4:$X$14162,7,FALSE),"-")</f>
        <v>875622641.98999918</v>
      </c>
      <c r="D9" s="121">
        <f>IFERROR(VLOOKUP(YEAR($D$6)&amp;MONTH($D$6),dados_icms!$A$4:$X$14162,7,FALSE),"-")</f>
        <v>886220952.75</v>
      </c>
      <c r="E9" s="121">
        <f>VLOOKUP(YEAR($L$3)&amp;MONTH($L$3),icms_acumulados!$A$4:$AE$15000,7,FALSE)</f>
        <v>10774660671.570005</v>
      </c>
      <c r="F9" s="121">
        <f>IFERROR(VLOOKUP(YEAR($D$6)&amp;MONTH($D$6),icms_acumulados!$A$2:$AE$15000,7,FALSE),"-")</f>
        <v>10123558909.610003</v>
      </c>
      <c r="G9" s="122">
        <f>IFERROR((B9-C9)/ABS(C9) * 100,"-")</f>
        <v>10.392826983457617</v>
      </c>
      <c r="H9" s="122">
        <f>IFERROR((B9-D9)/ABS(D9)*100,"-")</f>
        <v>9.0726398648669608</v>
      </c>
      <c r="I9" s="124">
        <f>IFERROR((E9-F9)/ABS(F9) *100,"-")</f>
        <v>6.4315500880024592</v>
      </c>
      <c r="J9" s="5"/>
      <c r="K9" s="5"/>
      <c r="L9" s="5"/>
      <c r="M9" s="5"/>
      <c r="N9" s="5"/>
    </row>
    <row r="10" spans="1:14" ht="15.75" x14ac:dyDescent="0.25">
      <c r="A10" s="56" t="s">
        <v>47</v>
      </c>
      <c r="B10" s="114">
        <f>VLOOKUP(YEAR($L$3)&amp;MONTH($L$3),dados_icms!$A$4:$X$14162,8,FALSE)</f>
        <v>617879552.51999986</v>
      </c>
      <c r="C10" s="114">
        <f>IFERROR(VLOOKUP(YEAR($C$6)&amp;MONTH($C$6),dados_icms!$A$4:$X$14162,8,FALSE),"-")</f>
        <v>579469288.84000015</v>
      </c>
      <c r="D10" s="114">
        <f>IFERROR(VLOOKUP(YEAR($D$6)&amp;MONTH($D$6),dados_icms!$A$4:$X$14162,8,FALSE),"-")</f>
        <v>415953118.75</v>
      </c>
      <c r="E10" s="114">
        <f>VLOOKUP(YEAR($L$3)&amp;MONTH($L$3),icms_acumulados!$A$4:$AE$15000,8,FALSE)</f>
        <v>6679583489.0199995</v>
      </c>
      <c r="F10" s="114">
        <f>IFERROR(VLOOKUP(YEAR($D$6)&amp;MONTH($D$6),icms_acumulados!$A$2:$AE$15000,8,FALSE),"-")</f>
        <v>6493177133.7700005</v>
      </c>
      <c r="G10" s="115">
        <f t="shared" ref="G10:G26" si="3">IFERROR((B10-C10)/ABS(C10) * 100,"-")</f>
        <v>6.6285244826159095</v>
      </c>
      <c r="H10" s="115">
        <f t="shared" ref="H10:H26" si="4">IFERROR((B10-D10)/ABS(D10)*100,"-")</f>
        <v>48.545478965710927</v>
      </c>
      <c r="I10" s="116">
        <f t="shared" ref="I10:I26" si="5">IFERROR((E10-F10)/ABS(F10) *100,"-")</f>
        <v>2.8708034820200528</v>
      </c>
      <c r="J10" s="5"/>
      <c r="K10" s="5"/>
      <c r="L10" s="5"/>
      <c r="M10" s="5"/>
      <c r="N10" s="5"/>
    </row>
    <row r="11" spans="1:14" ht="30" x14ac:dyDescent="0.25">
      <c r="A11" s="123" t="s">
        <v>48</v>
      </c>
      <c r="B11" s="121">
        <f>VLOOKUP(YEAR($L$3)&amp;MONTH($L$3),dados_icms!$A$4:$X$14162,9,FALSE)</f>
        <v>2923410.3800000004</v>
      </c>
      <c r="C11" s="121">
        <f>IFERROR(VLOOKUP(YEAR($C$6)&amp;MONTH($C$6),dados_icms!$A$4:$X$14162,9,FALSE),"-")</f>
        <v>2557132.0499999998</v>
      </c>
      <c r="D11" s="121">
        <f>IFERROR(VLOOKUP(YEAR($D$6)&amp;MONTH($D$6),dados_icms!$A$4:$X$14162,9,FALSE),"-")</f>
        <v>2238551.29</v>
      </c>
      <c r="E11" s="121">
        <f>VLOOKUP(YEAR($L$3)&amp;MONTH($L$3),icms_acumulados!$A$4:$AE$15000,9,FALSE)</f>
        <v>32645222.329999994</v>
      </c>
      <c r="F11" s="121">
        <f>IFERROR(VLOOKUP(YEAR($D$6)&amp;MONTH($D$6),icms_acumulados!$A$2:$AE$15000,9,FALSE),"-")</f>
        <v>27881846.659999996</v>
      </c>
      <c r="G11" s="122">
        <f t="shared" si="3"/>
        <v>14.323794111453905</v>
      </c>
      <c r="H11" s="122">
        <f t="shared" si="4"/>
        <v>30.593852955676539</v>
      </c>
      <c r="I11" s="124">
        <f t="shared" si="5"/>
        <v>17.084147001043721</v>
      </c>
      <c r="J11" s="5"/>
      <c r="K11" s="5"/>
      <c r="L11" s="5"/>
      <c r="M11" s="5"/>
      <c r="N11" s="5"/>
    </row>
    <row r="12" spans="1:14" ht="15.75" x14ac:dyDescent="0.25">
      <c r="A12" s="56" t="s">
        <v>49</v>
      </c>
      <c r="B12" s="114">
        <f>VLOOKUP(YEAR($L$3)&amp;MONTH($L$3),dados_icms!$A$4:$X$14162,10,FALSE)</f>
        <v>4002905.1899999995</v>
      </c>
      <c r="C12" s="114">
        <f>IFERROR(VLOOKUP(YEAR($C$6)&amp;MONTH($C$6),dados_icms!$A$4:$X$14162,10,FALSE),"-")</f>
        <v>6238004.7799999984</v>
      </c>
      <c r="D12" s="114">
        <f>IFERROR(VLOOKUP(YEAR($D$6)&amp;MONTH($D$6),dados_icms!$A$4:$X$14162,10,FALSE),"-")</f>
        <v>4373426.5600000015</v>
      </c>
      <c r="E12" s="114">
        <f>VLOOKUP(YEAR($L$3)&amp;MONTH($L$3),icms_acumulados!$A$4:$AE$15000,10,FALSE)</f>
        <v>52247345.049999997</v>
      </c>
      <c r="F12" s="114">
        <f>IFERROR(VLOOKUP(YEAR($D$6)&amp;MONTH($D$6),icms_acumulados!$A$2:$AE$15000,10,FALSE),"-")</f>
        <v>46604265.980000004</v>
      </c>
      <c r="G12" s="115">
        <f t="shared" si="3"/>
        <v>-35.830360328771654</v>
      </c>
      <c r="H12" s="115">
        <f t="shared" si="4"/>
        <v>-8.4721068232594696</v>
      </c>
      <c r="I12" s="116">
        <f t="shared" si="5"/>
        <v>12.108503269682851</v>
      </c>
      <c r="J12" s="5"/>
      <c r="K12" s="5"/>
      <c r="L12" s="5"/>
      <c r="M12" s="5"/>
      <c r="N12" s="5"/>
    </row>
    <row r="13" spans="1:14" ht="30" x14ac:dyDescent="0.25">
      <c r="A13" s="123" t="s">
        <v>50</v>
      </c>
      <c r="B13" s="121">
        <f>VLOOKUP(YEAR($L$3)&amp;MONTH($L$3),dados_icms!$A$4:$X$14162,11,FALSE)</f>
        <v>1086570005.5700004</v>
      </c>
      <c r="C13" s="121">
        <f>IFERROR(VLOOKUP(YEAR($C$6)&amp;MONTH($C$6),dados_icms!$A$4:$X$14162,11,FALSE),"-")</f>
        <v>1023286860.1600001</v>
      </c>
      <c r="D13" s="121">
        <f>IFERROR(VLOOKUP(YEAR($D$6)&amp;MONTH($D$6),dados_icms!$A$4:$X$14162,11,FALSE),"-")</f>
        <v>974092464.67999983</v>
      </c>
      <c r="E13" s="121">
        <f>VLOOKUP(YEAR($L$3)&amp;MONTH($L$3),icms_acumulados!$A$4:$AE$15000,11,FALSE)</f>
        <v>11493326167.120001</v>
      </c>
      <c r="F13" s="121">
        <f>IFERROR(VLOOKUP(YEAR($D$6)&amp;MONTH($D$6),icms_acumulados!$A$2:$AE$15000,11,FALSE),"-")</f>
        <v>11267163516.120001</v>
      </c>
      <c r="G13" s="122">
        <f t="shared" si="3"/>
        <v>6.1843015750349259</v>
      </c>
      <c r="H13" s="122">
        <f t="shared" si="4"/>
        <v>11.546905963075147</v>
      </c>
      <c r="I13" s="124">
        <f t="shared" si="5"/>
        <v>2.0072722888633656</v>
      </c>
      <c r="J13" s="5"/>
      <c r="K13" s="5"/>
      <c r="L13" s="5"/>
      <c r="M13" s="5"/>
      <c r="N13" s="5"/>
    </row>
    <row r="14" spans="1:14" ht="15.75" x14ac:dyDescent="0.25">
      <c r="A14" s="56" t="s">
        <v>51</v>
      </c>
      <c r="B14" s="114">
        <f>VLOOKUP(YEAR($L$3)&amp;MONTH($L$3),dados_icms!$A$4:$X$14162,12,FALSE)</f>
        <v>94134017.430000022</v>
      </c>
      <c r="C14" s="114">
        <f>IFERROR(VLOOKUP(YEAR($C$6)&amp;MONTH($C$6),dados_icms!$A$4:$X$14162,12,FALSE),"-")</f>
        <v>103610963.71000001</v>
      </c>
      <c r="D14" s="114">
        <f>IFERROR(VLOOKUP(YEAR($D$6)&amp;MONTH($D$6),dados_icms!$A$4:$X$14162,12,FALSE),"-")</f>
        <v>90610145.350000039</v>
      </c>
      <c r="E14" s="114">
        <f>VLOOKUP(YEAR($L$3)&amp;MONTH($L$3),icms_acumulados!$A$4:$AE$15000,12,FALSE)</f>
        <v>1357789087.48</v>
      </c>
      <c r="F14" s="114">
        <f>IFERROR(VLOOKUP(YEAR($D$6)&amp;MONTH($D$6),icms_acumulados!$A$2:$AE$15000,12,FALSE),"-")</f>
        <v>1020040534.8999999</v>
      </c>
      <c r="G14" s="115">
        <f t="shared" si="3"/>
        <v>-9.146663577539254</v>
      </c>
      <c r="H14" s="115">
        <f t="shared" si="4"/>
        <v>3.889048038040678</v>
      </c>
      <c r="I14" s="116">
        <f t="shared" si="5"/>
        <v>33.111287348312239</v>
      </c>
      <c r="J14" s="5"/>
      <c r="K14" s="5"/>
      <c r="L14" s="5"/>
      <c r="M14" s="5"/>
      <c r="N14" s="5"/>
    </row>
    <row r="15" spans="1:14" ht="15.75" x14ac:dyDescent="0.25">
      <c r="A15" s="123" t="s">
        <v>52</v>
      </c>
      <c r="B15" s="121">
        <f>VLOOKUP(YEAR($L$3)&amp;MONTH($L$3),dados_icms!$A$4:$X$14162,13,FALSE)</f>
        <v>38203659.230000004</v>
      </c>
      <c r="C15" s="121">
        <f>IFERROR(VLOOKUP(YEAR($C$6)&amp;MONTH($C$6),dados_icms!$A$4:$X$14162,13,FALSE),"-")</f>
        <v>38191890.179999992</v>
      </c>
      <c r="D15" s="121">
        <f>IFERROR(VLOOKUP(YEAR($D$6)&amp;MONTH($D$6),dados_icms!$A$4:$X$14162,13,FALSE),"-")</f>
        <v>38091625.07</v>
      </c>
      <c r="E15" s="121">
        <f>VLOOKUP(YEAR($L$3)&amp;MONTH($L$3),icms_acumulados!$A$4:$AE$15000,13,FALSE)</f>
        <v>455695251.21000004</v>
      </c>
      <c r="F15" s="121">
        <f>IFERROR(VLOOKUP(YEAR($D$6)&amp;MONTH($D$6),icms_acumulados!$A$2:$AE$15000,13,FALSE),"-")</f>
        <v>441218300.78000003</v>
      </c>
      <c r="G15" s="122">
        <f t="shared" si="3"/>
        <v>3.081557352763608E-2</v>
      </c>
      <c r="H15" s="122">
        <f t="shared" si="4"/>
        <v>0.29411756467234357</v>
      </c>
      <c r="I15" s="124">
        <f t="shared" si="5"/>
        <v>3.2811309966987281</v>
      </c>
      <c r="J15" s="5"/>
      <c r="K15" s="5"/>
      <c r="L15" s="5"/>
      <c r="M15" s="5"/>
      <c r="N15" s="5"/>
    </row>
    <row r="16" spans="1:14" ht="15.75" x14ac:dyDescent="0.25">
      <c r="A16" s="56" t="s">
        <v>53</v>
      </c>
      <c r="B16" s="114">
        <f>VLOOKUP(YEAR($L$3)&amp;MONTH($L$3),dados_icms!$A$4:$X$14162,14,FALSE)</f>
        <v>269889082.86999995</v>
      </c>
      <c r="C16" s="114">
        <f>IFERROR(VLOOKUP(YEAR($C$6)&amp;MONTH($C$6),dados_icms!$A$4:$X$14162,14,FALSE),"-")</f>
        <v>279672070.62</v>
      </c>
      <c r="D16" s="114">
        <f>IFERROR(VLOOKUP(YEAR($D$6)&amp;MONTH($D$6),dados_icms!$A$4:$X$14162,14,FALSE),"-")</f>
        <v>258778673.40999997</v>
      </c>
      <c r="E16" s="114">
        <f>VLOOKUP(YEAR($L$3)&amp;MONTH($L$3),icms_acumulados!$A$4:$AE$15000,14,FALSE)</f>
        <v>3246483119.9200001</v>
      </c>
      <c r="F16" s="114">
        <f>IFERROR(VLOOKUP(YEAR($D$6)&amp;MONTH($D$6),icms_acumulados!$A$2:$AE$15000,14,FALSE),"-")</f>
        <v>3425587890.9400001</v>
      </c>
      <c r="G16" s="115">
        <f t="shared" si="3"/>
        <v>-3.4980209959157986</v>
      </c>
      <c r="H16" s="115">
        <f t="shared" si="4"/>
        <v>4.2934022783233878</v>
      </c>
      <c r="I16" s="116">
        <f t="shared" si="5"/>
        <v>-5.2284389343416509</v>
      </c>
      <c r="J16" s="5"/>
      <c r="K16" s="5"/>
      <c r="L16" s="5"/>
      <c r="M16" s="5"/>
      <c r="N16" s="5"/>
    </row>
    <row r="17" spans="1:21" ht="30" x14ac:dyDescent="0.25">
      <c r="A17" s="123" t="s">
        <v>54</v>
      </c>
      <c r="B17" s="121">
        <f>VLOOKUP(YEAR($L$3)&amp;MONTH($L$3),dados_icms!$A$4:$X$14162,15,FALSE)</f>
        <v>68549.709999999992</v>
      </c>
      <c r="C17" s="121">
        <f>IFERROR(VLOOKUP(YEAR($C$6)&amp;MONTH($C$6),dados_icms!$A$4:$X$14162,15,FALSE),"-")</f>
        <v>339003.36999999994</v>
      </c>
      <c r="D17" s="121">
        <f>IFERROR(VLOOKUP(YEAR($D$6)&amp;MONTH($D$6),dados_icms!$A$4:$X$14162,15,FALSE),"-")</f>
        <v>121471.31999999999</v>
      </c>
      <c r="E17" s="121">
        <f>VLOOKUP(YEAR($L$3)&amp;MONTH($L$3),icms_acumulados!$A$4:$AE$15000,15,FALSE)</f>
        <v>1391007.89</v>
      </c>
      <c r="F17" s="121">
        <f>IFERROR(VLOOKUP(YEAR($D$6)&amp;MONTH($D$6),icms_acumulados!$A$2:$AE$15000,15,FALSE),"-")</f>
        <v>1297687.81</v>
      </c>
      <c r="G17" s="122">
        <f t="shared" si="3"/>
        <v>-79.77904762421683</v>
      </c>
      <c r="H17" s="122">
        <f t="shared" si="4"/>
        <v>-43.56716466076108</v>
      </c>
      <c r="I17" s="124">
        <f t="shared" si="5"/>
        <v>7.1912581193160658</v>
      </c>
      <c r="J17" s="5"/>
      <c r="K17" s="5"/>
      <c r="L17" s="5"/>
      <c r="M17" s="5"/>
      <c r="N17" s="5"/>
    </row>
    <row r="18" spans="1:21" ht="15.75" x14ac:dyDescent="0.25">
      <c r="A18" s="56" t="s">
        <v>55</v>
      </c>
      <c r="B18" s="114">
        <f>VLOOKUP(YEAR($L$3)&amp;MONTH($L$3),dados_icms!$A$4:$X$14162,16,FALSE)</f>
        <v>30159.399999999998</v>
      </c>
      <c r="C18" s="114">
        <f>IFERROR(VLOOKUP(YEAR($C$6)&amp;MONTH($C$6),dados_icms!$A$4:$X$14162,16,FALSE),"-")</f>
        <v>15222.9</v>
      </c>
      <c r="D18" s="114">
        <f>IFERROR(VLOOKUP(YEAR($D$6)&amp;MONTH($D$6),dados_icms!$A$4:$X$14162,16,FALSE),"-")</f>
        <v>12645.340000000002</v>
      </c>
      <c r="E18" s="114">
        <f>VLOOKUP(YEAR($L$3)&amp;MONTH($L$3),icms_acumulados!$A$4:$AE$15000,16,FALSE)</f>
        <v>202080.58999999997</v>
      </c>
      <c r="F18" s="114">
        <f>IFERROR(VLOOKUP(YEAR($D$6)&amp;MONTH($D$6),icms_acumulados!$A$2:$AE$15000,16,FALSE),"-")</f>
        <v>297690.63</v>
      </c>
      <c r="G18" s="115">
        <f t="shared" si="3"/>
        <v>98.118623915285525</v>
      </c>
      <c r="H18" s="115">
        <f t="shared" si="4"/>
        <v>138.50208851640204</v>
      </c>
      <c r="I18" s="116">
        <f t="shared" si="5"/>
        <v>-32.117248702117372</v>
      </c>
      <c r="J18" s="5"/>
      <c r="K18" s="5"/>
      <c r="L18" s="5"/>
      <c r="M18" s="5"/>
      <c r="N18" s="5"/>
    </row>
    <row r="19" spans="1:21" ht="30" x14ac:dyDescent="0.25">
      <c r="A19" s="123" t="s">
        <v>56</v>
      </c>
      <c r="B19" s="121">
        <f>VLOOKUP(YEAR($L$3)&amp;MONTH($L$3),dados_icms!$A$4:$X$14162,17,FALSE)</f>
        <v>8768120.9499999993</v>
      </c>
      <c r="C19" s="121">
        <f>IFERROR(VLOOKUP(YEAR($C$6)&amp;MONTH($C$6),dados_icms!$A$4:$X$14162,17,FALSE),"-")</f>
        <v>7066910.3300000019</v>
      </c>
      <c r="D19" s="121">
        <f>IFERROR(VLOOKUP(YEAR($D$6)&amp;MONTH($D$6),dados_icms!$A$4:$X$14162,17,FALSE),"-")</f>
        <v>3639349.3200000003</v>
      </c>
      <c r="E19" s="121">
        <f>VLOOKUP(YEAR($L$3)&amp;MONTH($L$3),icms_acumulados!$A$4:$AE$15000,17,FALSE)</f>
        <v>75888697.810000002</v>
      </c>
      <c r="F19" s="121">
        <f>IFERROR(VLOOKUP(YEAR($D$6)&amp;MONTH($D$6),icms_acumulados!$A$2:$AE$15000,17,FALSE),"-")</f>
        <v>51590841.850000001</v>
      </c>
      <c r="G19" s="122">
        <f t="shared" si="3"/>
        <v>24.072905139012807</v>
      </c>
      <c r="H19" s="122">
        <f t="shared" si="4"/>
        <v>140.92551110207796</v>
      </c>
      <c r="I19" s="124">
        <f t="shared" si="5"/>
        <v>47.097227121522536</v>
      </c>
      <c r="J19" s="5"/>
      <c r="K19" s="5"/>
      <c r="L19" s="5"/>
      <c r="M19" s="5"/>
      <c r="N19" s="5"/>
    </row>
    <row r="20" spans="1:21" ht="30" x14ac:dyDescent="0.25">
      <c r="A20" s="56" t="s">
        <v>57</v>
      </c>
      <c r="B20" s="114">
        <f>VLOOKUP(YEAR($L$3)&amp;MONTH($L$3),dados_icms!$A$4:$X$14162,18,FALSE)</f>
        <v>5458173.9899999993</v>
      </c>
      <c r="C20" s="114">
        <f>IFERROR(VLOOKUP(YEAR($C$6)&amp;MONTH($C$6),dados_icms!$A$4:$X$14162,18,FALSE),"-")</f>
        <v>6038410.7599999979</v>
      </c>
      <c r="D20" s="114">
        <f>IFERROR(VLOOKUP(YEAR($D$6)&amp;MONTH($D$6),dados_icms!$A$4:$X$14162,18,FALSE),"-")</f>
        <v>4096046.5599999991</v>
      </c>
      <c r="E20" s="114">
        <f>VLOOKUP(YEAR($L$3)&amp;MONTH($L$3),icms_acumulados!$A$4:$AE$15000,18,FALSE)</f>
        <v>62198173.329999991</v>
      </c>
      <c r="F20" s="114">
        <f>IFERROR(VLOOKUP(YEAR($D$6)&amp;MONTH($D$6),icms_acumulados!$A$2:$AE$15000,18,FALSE),"-")</f>
        <v>53936224.309999995</v>
      </c>
      <c r="G20" s="115">
        <f t="shared" si="3"/>
        <v>-9.609097377800758</v>
      </c>
      <c r="H20" s="115">
        <f t="shared" si="4"/>
        <v>33.254686196731136</v>
      </c>
      <c r="I20" s="116">
        <f t="shared" si="5"/>
        <v>15.31799662600446</v>
      </c>
      <c r="J20" s="5"/>
      <c r="K20" s="5"/>
      <c r="L20" s="5"/>
      <c r="M20" s="5"/>
      <c r="N20" s="5"/>
    </row>
    <row r="21" spans="1:21" ht="30" x14ac:dyDescent="0.25">
      <c r="A21" s="123" t="s">
        <v>58</v>
      </c>
      <c r="B21" s="121">
        <f>VLOOKUP(YEAR($L$3)&amp;MONTH($L$3),dados_icms!$A$4:$X$14162,19,FALSE)</f>
        <v>615.34</v>
      </c>
      <c r="C21" s="121">
        <f>IFERROR(VLOOKUP(YEAR($C$6)&amp;MONTH($C$6),dados_icms!$A$4:$X$14162,19,FALSE),"-")</f>
        <v>582.66</v>
      </c>
      <c r="D21" s="121">
        <f>IFERROR(VLOOKUP(YEAR($D$6)&amp;MONTH($D$6),dados_icms!$A$4:$X$14162,19,FALSE),"-")</f>
        <v>10783.25</v>
      </c>
      <c r="E21" s="121">
        <f>VLOOKUP(YEAR($L$3)&amp;MONTH($L$3),icms_acumulados!$A$4:$AE$15000,19,FALSE)</f>
        <v>1288162.57</v>
      </c>
      <c r="F21" s="121">
        <f>IFERROR(VLOOKUP(YEAR($D$6)&amp;MONTH($D$6),icms_acumulados!$A$2:$AE$15000,19,FALSE),"-")</f>
        <v>355416.34</v>
      </c>
      <c r="G21" s="122">
        <f t="shared" si="3"/>
        <v>5.608759825627307</v>
      </c>
      <c r="H21" s="122">
        <f t="shared" si="4"/>
        <v>-94.293557137226713</v>
      </c>
      <c r="I21" s="124">
        <f t="shared" si="5"/>
        <v>262.4376330024669</v>
      </c>
      <c r="J21" s="5"/>
      <c r="K21" s="5"/>
      <c r="L21" s="5"/>
      <c r="M21" s="5"/>
      <c r="N21" s="5"/>
    </row>
    <row r="22" spans="1:21" ht="15.75" x14ac:dyDescent="0.25">
      <c r="A22" s="56" t="s">
        <v>59</v>
      </c>
      <c r="B22" s="114">
        <f>VLOOKUP(YEAR($L$3)&amp;MONTH($L$3),dados_icms!$A$4:$X$14162,20,FALSE)</f>
        <v>217380.25999999998</v>
      </c>
      <c r="C22" s="114">
        <f>IFERROR(VLOOKUP(YEAR($C$6)&amp;MONTH($C$6),dados_icms!$A$4:$X$14162,20,FALSE),"-")</f>
        <v>176485.08999999997</v>
      </c>
      <c r="D22" s="114">
        <f>IFERROR(VLOOKUP(YEAR($D$6)&amp;MONTH($D$6),dados_icms!$A$4:$X$14162,20,FALSE),"-")</f>
        <v>157808.15000000002</v>
      </c>
      <c r="E22" s="114">
        <f>VLOOKUP(YEAR($L$3)&amp;MONTH($L$3),icms_acumulados!$A$4:$AE$15000,20,FALSE)</f>
        <v>2725780.2699999996</v>
      </c>
      <c r="F22" s="114">
        <f>IFERROR(VLOOKUP(YEAR($D$6)&amp;MONTH($D$6),icms_acumulados!$A$2:$AE$15000,20,FALSE),"-")</f>
        <v>2538458.9200000004</v>
      </c>
      <c r="G22" s="115">
        <f t="shared" si="3"/>
        <v>23.172025466853896</v>
      </c>
      <c r="H22" s="115">
        <f t="shared" si="4"/>
        <v>37.74970430868111</v>
      </c>
      <c r="I22" s="116">
        <f t="shared" si="5"/>
        <v>7.3793335209852096</v>
      </c>
      <c r="J22" s="5"/>
      <c r="K22" s="5"/>
      <c r="L22" s="5"/>
      <c r="M22" s="5"/>
      <c r="N22" s="5"/>
    </row>
    <row r="23" spans="1:21" ht="15.75" x14ac:dyDescent="0.25">
      <c r="A23" s="123" t="s">
        <v>60</v>
      </c>
      <c r="B23" s="121">
        <f>VLOOKUP(YEAR($L$3)&amp;MONTH($L$3),dados_icms!$A$4:$X$14162,21,FALSE)</f>
        <v>91477.959999999992</v>
      </c>
      <c r="C23" s="121">
        <f>IFERROR(VLOOKUP(YEAR($C$6)&amp;MONTH($C$6),dados_icms!$A$4:$X$14162,21,FALSE),"-")</f>
        <v>116035.09000000004</v>
      </c>
      <c r="D23" s="121">
        <f>IFERROR(VLOOKUP(YEAR($D$6)&amp;MONTH($D$6),dados_icms!$A$4:$X$14162,21,FALSE),"-")</f>
        <v>53878.28</v>
      </c>
      <c r="E23" s="121">
        <f>VLOOKUP(YEAR($L$3)&amp;MONTH($L$3),icms_acumulados!$A$4:$AE$15000,21,FALSE)</f>
        <v>1113775.3</v>
      </c>
      <c r="F23" s="121">
        <f>IFERROR(VLOOKUP(YEAR($D$6)&amp;MONTH($D$6),icms_acumulados!$A$2:$AE$15000,21,FALSE),"-")</f>
        <v>549758.98</v>
      </c>
      <c r="G23" s="122">
        <f t="shared" si="3"/>
        <v>-21.163537685022728</v>
      </c>
      <c r="H23" s="122">
        <f t="shared" si="4"/>
        <v>69.786340618148898</v>
      </c>
      <c r="I23" s="124">
        <f t="shared" si="5"/>
        <v>102.593380102677</v>
      </c>
      <c r="J23" s="5"/>
      <c r="K23" s="5"/>
      <c r="L23" s="5"/>
      <c r="M23" s="5"/>
      <c r="N23" s="5"/>
    </row>
    <row r="24" spans="1:21" ht="15.75" x14ac:dyDescent="0.25">
      <c r="A24" s="56" t="s">
        <v>61</v>
      </c>
      <c r="B24" s="114">
        <f>VLOOKUP(YEAR($L$3)&amp;MONTH($L$3),dados_icms!$A$4:$X$14162,22,FALSE)</f>
        <v>446819.59</v>
      </c>
      <c r="C24" s="114">
        <f>IFERROR(VLOOKUP(YEAR($C$6)&amp;MONTH($C$6),dados_icms!$A$4:$X$14162,22,FALSE),"-")</f>
        <v>494903.85000000003</v>
      </c>
      <c r="D24" s="114">
        <f>IFERROR(VLOOKUP(YEAR($D$6)&amp;MONTH($D$6),dados_icms!$A$4:$X$14162,22,FALSE),"-")</f>
        <v>633256.18000000005</v>
      </c>
      <c r="E24" s="114">
        <f>VLOOKUP(YEAR($L$3)&amp;MONTH($L$3),icms_acumulados!$A$4:$AE$15000,22,FALSE)</f>
        <v>5183737.419999999</v>
      </c>
      <c r="F24" s="114">
        <f>IFERROR(VLOOKUP(YEAR($D$6)&amp;MONTH($D$6),icms_acumulados!$A$2:$AE$15000,22,FALSE),"-")</f>
        <v>4412196.2300000004</v>
      </c>
      <c r="G24" s="115">
        <f t="shared" si="3"/>
        <v>-9.7158791551126562</v>
      </c>
      <c r="H24" s="115">
        <f t="shared" si="4"/>
        <v>-29.440942842437007</v>
      </c>
      <c r="I24" s="116">
        <f t="shared" si="5"/>
        <v>17.486556575929953</v>
      </c>
      <c r="J24" s="5"/>
      <c r="K24" s="5"/>
      <c r="L24" s="5"/>
      <c r="M24" s="5"/>
      <c r="N24" s="5"/>
    </row>
    <row r="25" spans="1:21" ht="15.75" x14ac:dyDescent="0.25">
      <c r="A25" s="123" t="s">
        <v>62</v>
      </c>
      <c r="B25" s="121">
        <f>VLOOKUP(YEAR($L$3)&amp;MONTH($L$3),dados_icms!$A$4:$X$14162,23,FALSE)</f>
        <v>1526089.3499999999</v>
      </c>
      <c r="C25" s="121">
        <f>IFERROR(VLOOKUP(YEAR($C$6)&amp;MONTH($C$6),dados_icms!$A$4:$X$14162,23,FALSE),"-")</f>
        <v>1584563.4800000002</v>
      </c>
      <c r="D25" s="121">
        <f>IFERROR(VLOOKUP(YEAR($D$6)&amp;MONTH($D$6),dados_icms!$A$4:$X$14162,23,FALSE),"-")</f>
        <v>2264908.7800000003</v>
      </c>
      <c r="E25" s="121">
        <f>VLOOKUP(YEAR($L$3)&amp;MONTH($L$3),icms_acumulados!$A$4:$AE$15000,23,FALSE)</f>
        <v>17725569.559999999</v>
      </c>
      <c r="F25" s="121">
        <f>IFERROR(VLOOKUP(YEAR($D$6)&amp;MONTH($D$6),icms_acumulados!$A$2:$AE$15000,23,FALSE),"-")</f>
        <v>17956343.350000001</v>
      </c>
      <c r="G25" s="122">
        <f t="shared" si="3"/>
        <v>-3.6902358749300688</v>
      </c>
      <c r="H25" s="122">
        <f t="shared" si="4"/>
        <v>-32.62027312199303</v>
      </c>
      <c r="I25" s="124">
        <f t="shared" si="5"/>
        <v>-1.2851936805942332</v>
      </c>
      <c r="J25" s="5"/>
      <c r="K25" s="5"/>
      <c r="L25" s="5"/>
      <c r="M25" s="5"/>
      <c r="N25" s="5"/>
    </row>
    <row r="26" spans="1:21" ht="21.75" customHeight="1" thickBot="1" x14ac:dyDescent="0.3">
      <c r="A26" s="125" t="s">
        <v>70</v>
      </c>
      <c r="B26" s="126">
        <f>VLOOKUP(YEAR($L$3)&amp;MONTH($L$3),dados_icms!$A$4:$X$14162,24,FALSE)</f>
        <v>3330296961.1400003</v>
      </c>
      <c r="C26" s="126">
        <f>IFERROR(VLOOKUP(YEAR($C$6)&amp;MONTH($C$6),dados_icms!$A$4:$X$14162,24,FALSE),"-")</f>
        <v>2992750427.4699993</v>
      </c>
      <c r="D26" s="126">
        <f>IFERROR(VLOOKUP(YEAR($D$6)&amp;MONTH($D$6),dados_icms!$A$4:$X$14162,24,FALSE),"-")</f>
        <v>2755246399.5800004</v>
      </c>
      <c r="E26" s="126">
        <f>VLOOKUP(YEAR($L$3)&amp;MONTH($L$3),icms_acumulados!$A$4:$AE$15000,24,FALSE)</f>
        <v>35551490971.980003</v>
      </c>
      <c r="F26" s="126">
        <f>IFERROR(VLOOKUP(YEAR($D$6)&amp;MONTH($D$6),icms_acumulados!$A$2:$AE$15000,24,FALSE),"-")</f>
        <v>35316715809.839996</v>
      </c>
      <c r="G26" s="127">
        <f t="shared" si="3"/>
        <v>11.278806631241714</v>
      </c>
      <c r="H26" s="127">
        <f t="shared" si="4"/>
        <v>20.871111986487254</v>
      </c>
      <c r="I26" s="128">
        <f t="shared" si="5"/>
        <v>0.66477065252651157</v>
      </c>
      <c r="J26" s="5"/>
      <c r="K26" s="5"/>
      <c r="L26" s="5"/>
      <c r="M26" s="5"/>
      <c r="N26" s="5"/>
    </row>
    <row r="27" spans="1:21" ht="15.75" x14ac:dyDescent="0.25">
      <c r="A27" s="110" t="s">
        <v>71</v>
      </c>
      <c r="B27" s="13"/>
      <c r="C27" s="13"/>
      <c r="D27" s="13"/>
      <c r="E27" s="13"/>
      <c r="F27" s="13"/>
      <c r="G27" s="13"/>
      <c r="H27" s="13"/>
      <c r="I27" s="13"/>
      <c r="J27" s="5"/>
      <c r="K27" s="5"/>
      <c r="L27" s="5"/>
      <c r="M27" s="5"/>
      <c r="N27" s="5"/>
    </row>
    <row r="28" spans="1:21" ht="15.75" x14ac:dyDescent="0.25">
      <c r="A28" s="110" t="s">
        <v>14</v>
      </c>
      <c r="B28" s="13"/>
      <c r="C28" s="111"/>
      <c r="D28" s="111"/>
      <c r="E28" s="111"/>
      <c r="F28" s="111"/>
      <c r="G28" s="13"/>
      <c r="H28" s="13"/>
      <c r="I28" s="13"/>
      <c r="J28" s="5"/>
      <c r="K28" s="5"/>
      <c r="L28" s="5"/>
      <c r="M28" s="5"/>
      <c r="N28" s="5"/>
    </row>
    <row r="29" spans="1:21" ht="15.75" x14ac:dyDescent="0.25">
      <c r="A29" s="110"/>
      <c r="B29" s="13"/>
      <c r="C29" s="112"/>
      <c r="D29" s="112"/>
      <c r="E29" s="112"/>
      <c r="F29" s="112"/>
      <c r="G29" s="13"/>
      <c r="H29" s="13"/>
      <c r="I29" s="13"/>
      <c r="J29" s="5"/>
      <c r="K29" s="5"/>
      <c r="L29" s="5"/>
      <c r="M29" s="5"/>
      <c r="N29" s="5"/>
    </row>
    <row r="30" spans="1:21" x14ac:dyDescent="0.25">
      <c r="A30" s="13"/>
      <c r="B30" s="113"/>
      <c r="C30" s="113"/>
      <c r="D30" s="113"/>
      <c r="E30" s="113"/>
      <c r="F30" s="113"/>
      <c r="G30" s="113"/>
      <c r="H30" s="113"/>
      <c r="I30" s="113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</row>
    <row r="31" spans="1:21" x14ac:dyDescent="0.25">
      <c r="A31" s="13"/>
      <c r="B31" s="113"/>
      <c r="C31" s="13"/>
      <c r="D31" s="13"/>
      <c r="E31" s="13"/>
      <c r="F31" s="13"/>
      <c r="G31" s="13"/>
      <c r="H31" s="13"/>
      <c r="I31" s="13"/>
    </row>
    <row r="32" spans="1:21" x14ac:dyDescent="0.25">
      <c r="A32" s="13"/>
      <c r="B32" s="113"/>
      <c r="C32" s="13"/>
      <c r="D32" s="13"/>
      <c r="E32" s="13"/>
      <c r="F32" s="13"/>
      <c r="G32" s="13"/>
      <c r="H32" s="13"/>
      <c r="I32" s="13"/>
    </row>
    <row r="33" spans="1:9" x14ac:dyDescent="0.25">
      <c r="A33" s="13"/>
      <c r="B33" s="113"/>
      <c r="C33" s="13"/>
      <c r="D33" s="13"/>
      <c r="E33" s="13"/>
      <c r="F33" s="13"/>
      <c r="G33" s="13"/>
      <c r="H33" s="13"/>
      <c r="I33" s="13"/>
    </row>
    <row r="34" spans="1:9" x14ac:dyDescent="0.25">
      <c r="A34" s="13"/>
      <c r="B34" s="113"/>
      <c r="C34" s="13"/>
      <c r="D34" s="13"/>
      <c r="E34" s="13"/>
      <c r="F34" s="13"/>
      <c r="G34" s="13"/>
      <c r="H34" s="13"/>
      <c r="I34" s="13"/>
    </row>
    <row r="35" spans="1:9" x14ac:dyDescent="0.25">
      <c r="A35" s="13"/>
      <c r="B35" s="113"/>
      <c r="C35" s="13"/>
      <c r="D35" s="13"/>
      <c r="E35" s="13"/>
      <c r="F35" s="13"/>
      <c r="G35" s="13"/>
      <c r="H35" s="13"/>
      <c r="I35" s="13"/>
    </row>
    <row r="36" spans="1:9" x14ac:dyDescent="0.25">
      <c r="A36" s="13"/>
      <c r="B36" s="113"/>
      <c r="C36" s="13"/>
      <c r="D36" s="13"/>
      <c r="E36" s="13"/>
      <c r="F36" s="13"/>
      <c r="G36" s="13"/>
      <c r="H36" s="13"/>
      <c r="I36" s="13"/>
    </row>
    <row r="37" spans="1:9" x14ac:dyDescent="0.25">
      <c r="A37" s="13"/>
      <c r="B37" s="113"/>
      <c r="C37" s="13"/>
      <c r="D37" s="13"/>
      <c r="E37" s="13"/>
      <c r="F37" s="13"/>
      <c r="G37" s="13"/>
      <c r="H37" s="13"/>
      <c r="I37" s="13"/>
    </row>
    <row r="38" spans="1:9" x14ac:dyDescent="0.25">
      <c r="B38" s="95"/>
      <c r="F38" s="13"/>
      <c r="H38" s="13"/>
    </row>
    <row r="39" spans="1:9" x14ac:dyDescent="0.25">
      <c r="B39" s="95"/>
      <c r="F39" s="13"/>
      <c r="H39" s="13"/>
    </row>
    <row r="40" spans="1:9" x14ac:dyDescent="0.25">
      <c r="B40" s="95"/>
      <c r="F40" s="13"/>
      <c r="H40" s="13"/>
    </row>
    <row r="41" spans="1:9" x14ac:dyDescent="0.25">
      <c r="B41" s="95"/>
      <c r="F41" s="13"/>
      <c r="H41" s="13"/>
    </row>
    <row r="42" spans="1:9" x14ac:dyDescent="0.25">
      <c r="B42" s="95"/>
      <c r="F42" s="13"/>
      <c r="H42" s="13"/>
    </row>
    <row r="43" spans="1:9" x14ac:dyDescent="0.25">
      <c r="B43" s="95"/>
      <c r="F43" s="13"/>
      <c r="H43" s="13"/>
    </row>
    <row r="44" spans="1:9" x14ac:dyDescent="0.25">
      <c r="B44" s="95"/>
      <c r="F44" s="13"/>
      <c r="H44" s="13"/>
    </row>
    <row r="45" spans="1:9" x14ac:dyDescent="0.25">
      <c r="B45" s="95"/>
      <c r="F45" s="13"/>
      <c r="H45" s="13"/>
    </row>
    <row r="46" spans="1:9" x14ac:dyDescent="0.25">
      <c r="B46" s="95"/>
      <c r="F46" s="13"/>
      <c r="H46" s="13"/>
    </row>
    <row r="47" spans="1:9" x14ac:dyDescent="0.25">
      <c r="B47" s="95"/>
      <c r="F47" s="13"/>
      <c r="H47" s="13"/>
    </row>
    <row r="48" spans="1:9" x14ac:dyDescent="0.25">
      <c r="B48" s="95"/>
      <c r="F48" s="13"/>
      <c r="H48" s="13"/>
    </row>
    <row r="49" spans="2:8" x14ac:dyDescent="0.25">
      <c r="B49" s="95"/>
      <c r="F49" s="13"/>
      <c r="H49" s="13"/>
    </row>
    <row r="50" spans="2:8" x14ac:dyDescent="0.25">
      <c r="B50" s="95"/>
      <c r="F50" s="13"/>
      <c r="H50" s="13"/>
    </row>
  </sheetData>
  <mergeCells count="10">
    <mergeCell ref="A1:I1"/>
    <mergeCell ref="L2:N2"/>
    <mergeCell ref="A3:I3"/>
    <mergeCell ref="L3:N3"/>
    <mergeCell ref="A4:A6"/>
    <mergeCell ref="B4:F4"/>
    <mergeCell ref="G4:I4"/>
    <mergeCell ref="G5:G6"/>
    <mergeCell ref="H5:H6"/>
    <mergeCell ref="I5:I6"/>
  </mergeCells>
  <dataValidations count="1">
    <dataValidation type="list" allowBlank="1" showInputMessage="1" showErrorMessage="1" sqref="L3:N3">
      <formula1>lista_icms</formula1>
    </dataValidation>
  </dataValidation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showGridLines="0" topLeftCell="D1" workbookViewId="0">
      <selection activeCell="D1" sqref="D1"/>
    </sheetView>
  </sheetViews>
  <sheetFormatPr defaultRowHeight="15" x14ac:dyDescent="0.25"/>
  <cols>
    <col min="1" max="1" width="0" hidden="1" customWidth="1"/>
    <col min="2" max="3" width="9.28515625" hidden="1" customWidth="1"/>
    <col min="4" max="4" width="17" customWidth="1"/>
    <col min="5" max="5" width="12.140625" customWidth="1"/>
    <col min="6" max="6" width="11.7109375" bestFit="1" customWidth="1"/>
    <col min="7" max="7" width="13.140625" bestFit="1" customWidth="1"/>
    <col min="8" max="8" width="14.28515625" bestFit="1" customWidth="1"/>
    <col min="9" max="9" width="13.42578125" customWidth="1"/>
    <col min="10" max="10" width="11.5703125" bestFit="1" customWidth="1"/>
    <col min="11" max="11" width="14.28515625" bestFit="1" customWidth="1"/>
    <col min="12" max="12" width="12.5703125" bestFit="1" customWidth="1"/>
    <col min="13" max="14" width="14.28515625" bestFit="1" customWidth="1"/>
    <col min="15" max="15" width="12.5703125" bestFit="1" customWidth="1"/>
    <col min="16" max="17" width="11.5703125" bestFit="1" customWidth="1"/>
    <col min="18" max="18" width="12.42578125" customWidth="1"/>
    <col min="19" max="21" width="10.5703125" bestFit="1" customWidth="1"/>
    <col min="22" max="23" width="11.5703125" bestFit="1" customWidth="1"/>
    <col min="24" max="24" width="15.28515625" bestFit="1" customWidth="1"/>
  </cols>
  <sheetData>
    <row r="1" spans="1:24" ht="21" x14ac:dyDescent="0.35">
      <c r="D1" s="129" t="s">
        <v>42</v>
      </c>
      <c r="E1" s="130"/>
      <c r="F1" s="131"/>
      <c r="G1" s="131"/>
      <c r="H1" s="131"/>
      <c r="I1" s="132"/>
      <c r="J1" s="130"/>
      <c r="K1" s="133"/>
      <c r="L1" s="130"/>
      <c r="M1" s="130"/>
      <c r="N1" s="130"/>
    </row>
    <row r="2" spans="1:24" ht="21" x14ac:dyDescent="0.35">
      <c r="D2" s="134" t="s">
        <v>72</v>
      </c>
      <c r="E2" s="130"/>
      <c r="F2" s="131"/>
      <c r="G2" s="131"/>
      <c r="H2" s="131"/>
      <c r="I2" s="133"/>
      <c r="J2" s="135"/>
      <c r="K2" s="130"/>
      <c r="L2" s="130"/>
      <c r="M2" s="130"/>
      <c r="N2" s="130"/>
    </row>
    <row r="3" spans="1:24" ht="15.75" thickBot="1" x14ac:dyDescent="0.3">
      <c r="E3" s="130"/>
      <c r="F3" s="131"/>
      <c r="G3" s="131"/>
      <c r="H3" s="131"/>
      <c r="I3" s="136"/>
      <c r="J3" s="131"/>
      <c r="K3" s="130"/>
      <c r="L3" s="130"/>
      <c r="M3" s="130"/>
      <c r="N3" s="130"/>
    </row>
    <row r="4" spans="1:24" ht="19.5" customHeight="1" x14ac:dyDescent="0.25">
      <c r="D4" s="201" t="s">
        <v>73</v>
      </c>
      <c r="E4" s="203" t="s">
        <v>75</v>
      </c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5"/>
    </row>
    <row r="5" spans="1:24" ht="68.25" customHeight="1" thickBot="1" x14ac:dyDescent="0.3">
      <c r="D5" s="202"/>
      <c r="E5" s="137" t="s">
        <v>44</v>
      </c>
      <c r="F5" s="138" t="s">
        <v>45</v>
      </c>
      <c r="G5" s="138" t="s">
        <v>46</v>
      </c>
      <c r="H5" s="138" t="s">
        <v>47</v>
      </c>
      <c r="I5" s="138" t="s">
        <v>48</v>
      </c>
      <c r="J5" s="138" t="s">
        <v>49</v>
      </c>
      <c r="K5" s="138" t="s">
        <v>50</v>
      </c>
      <c r="L5" s="138" t="s">
        <v>51</v>
      </c>
      <c r="M5" s="138" t="s">
        <v>52</v>
      </c>
      <c r="N5" s="138" t="s">
        <v>53</v>
      </c>
      <c r="O5" s="138" t="s">
        <v>54</v>
      </c>
      <c r="P5" s="138" t="s">
        <v>55</v>
      </c>
      <c r="Q5" s="138" t="s">
        <v>56</v>
      </c>
      <c r="R5" s="138" t="s">
        <v>57</v>
      </c>
      <c r="S5" s="138" t="s">
        <v>58</v>
      </c>
      <c r="T5" s="138" t="s">
        <v>59</v>
      </c>
      <c r="U5" s="138" t="s">
        <v>60</v>
      </c>
      <c r="V5" s="138" t="s">
        <v>61</v>
      </c>
      <c r="W5" s="138" t="s">
        <v>62</v>
      </c>
      <c r="X5" s="139" t="s">
        <v>70</v>
      </c>
    </row>
    <row r="6" spans="1:24" x14ac:dyDescent="0.25">
      <c r="A6" s="8" t="str">
        <f>dados_icms!A4</f>
        <v>20171</v>
      </c>
      <c r="B6" s="8">
        <f>dados_icms!B4</f>
        <v>2017</v>
      </c>
      <c r="C6" s="8">
        <f>dados_icms!C4</f>
        <v>1</v>
      </c>
      <c r="D6" s="143">
        <f>dados_icms!D4</f>
        <v>42736</v>
      </c>
      <c r="E6" s="144">
        <f>dados_icms!E4</f>
        <v>543626.73</v>
      </c>
      <c r="F6" s="144">
        <f>dados_icms!F4</f>
        <v>132812851.49000001</v>
      </c>
      <c r="G6" s="144">
        <f>dados_icms!G4</f>
        <v>729509679.45000029</v>
      </c>
      <c r="H6" s="144">
        <f>dados_icms!H4</f>
        <v>540666850</v>
      </c>
      <c r="I6" s="144">
        <f>dados_icms!I4</f>
        <v>1659140.75</v>
      </c>
      <c r="J6" s="144">
        <f>dados_icms!J4</f>
        <v>6004148.1100000003</v>
      </c>
      <c r="K6" s="144">
        <f>dados_icms!K4</f>
        <v>944932180.4999994</v>
      </c>
      <c r="L6" s="144">
        <f>dados_icms!L4</f>
        <v>69559707.109999999</v>
      </c>
      <c r="M6" s="144">
        <f>dados_icms!M4</f>
        <v>39052173.370000005</v>
      </c>
      <c r="N6" s="144">
        <f>dados_icms!N4</f>
        <v>323614693.81999999</v>
      </c>
      <c r="O6" s="144">
        <f>dados_icms!O4</f>
        <v>197569.03000000003</v>
      </c>
      <c r="P6" s="144">
        <f>dados_icms!P4</f>
        <v>9895.36</v>
      </c>
      <c r="Q6" s="144">
        <f>dados_icms!Q4</f>
        <v>6480039.0000000028</v>
      </c>
      <c r="R6" s="144">
        <f>dados_icms!R4</f>
        <v>5491412.4700000025</v>
      </c>
      <c r="S6" s="144">
        <f>dados_icms!S4</f>
        <v>335178.7699999999</v>
      </c>
      <c r="T6" s="144">
        <f>dados_icms!T4</f>
        <v>94567.9</v>
      </c>
      <c r="U6" s="144">
        <f>dados_icms!U4</f>
        <v>55188.579999999994</v>
      </c>
      <c r="V6" s="144">
        <f>dados_icms!V4</f>
        <v>405496.5799999999</v>
      </c>
      <c r="W6" s="144">
        <f>dados_icms!W4</f>
        <v>3701941.3499999992</v>
      </c>
      <c r="X6" s="151">
        <f>dados_icms!X4</f>
        <v>2805126340.3699999</v>
      </c>
    </row>
    <row r="7" spans="1:24" x14ac:dyDescent="0.25">
      <c r="A7" s="8" t="str">
        <f>dados_icms!A5</f>
        <v>20172</v>
      </c>
      <c r="B7" s="8">
        <f>dados_icms!B5</f>
        <v>2017</v>
      </c>
      <c r="C7" s="8">
        <f>dados_icms!C5</f>
        <v>2</v>
      </c>
      <c r="D7" s="145">
        <f>dados_icms!D5</f>
        <v>42767</v>
      </c>
      <c r="E7" s="146">
        <f>dados_icms!E5</f>
        <v>427207.32</v>
      </c>
      <c r="F7" s="146">
        <f>dados_icms!F5</f>
        <v>56348481.270000011</v>
      </c>
      <c r="G7" s="146">
        <f>dados_icms!G5</f>
        <v>763411108.34000063</v>
      </c>
      <c r="H7" s="146">
        <f>dados_icms!H5</f>
        <v>488645699.19</v>
      </c>
      <c r="I7" s="146">
        <f>dados_icms!I5</f>
        <v>1117950.99</v>
      </c>
      <c r="J7" s="146">
        <f>dados_icms!J5</f>
        <v>4899172.3200000022</v>
      </c>
      <c r="K7" s="146">
        <f>dados_icms!K5</f>
        <v>890200470.03000104</v>
      </c>
      <c r="L7" s="146">
        <f>dados_icms!L5</f>
        <v>75191632.530000001</v>
      </c>
      <c r="M7" s="146">
        <f>dados_icms!M5</f>
        <v>34541040.980000004</v>
      </c>
      <c r="N7" s="146">
        <f>dados_icms!N5</f>
        <v>347279835.27999991</v>
      </c>
      <c r="O7" s="146">
        <f>dados_icms!O5</f>
        <v>295034.62999999995</v>
      </c>
      <c r="P7" s="146">
        <f>dados_icms!P5</f>
        <v>3594.03</v>
      </c>
      <c r="Q7" s="146">
        <f>dados_icms!Q5</f>
        <v>2685359.7199999993</v>
      </c>
      <c r="R7" s="146">
        <f>dados_icms!R5</f>
        <v>2786994.2499999995</v>
      </c>
      <c r="S7" s="146">
        <f>dados_icms!S5</f>
        <v>182786.60999999996</v>
      </c>
      <c r="T7" s="146">
        <f>dados_icms!T5</f>
        <v>133178.1</v>
      </c>
      <c r="U7" s="146">
        <f>dados_icms!U5</f>
        <v>54269</v>
      </c>
      <c r="V7" s="146">
        <f>dados_icms!V5</f>
        <v>390954.44999999995</v>
      </c>
      <c r="W7" s="146">
        <f>dados_icms!W5</f>
        <v>2109156.0499999998</v>
      </c>
      <c r="X7" s="152">
        <f>dados_icms!X5</f>
        <v>2670703925.0900016</v>
      </c>
    </row>
    <row r="8" spans="1:24" x14ac:dyDescent="0.25">
      <c r="A8" s="8" t="str">
        <f>dados_icms!A6</f>
        <v>20173</v>
      </c>
      <c r="B8" s="8">
        <f>dados_icms!B6</f>
        <v>2017</v>
      </c>
      <c r="C8" s="8">
        <f>dados_icms!C6</f>
        <v>3</v>
      </c>
      <c r="D8" s="145">
        <f>dados_icms!D6</f>
        <v>42795</v>
      </c>
      <c r="E8" s="146">
        <f>dados_icms!E6</f>
        <v>393843.33000000007</v>
      </c>
      <c r="F8" s="146">
        <f>dados_icms!F6</f>
        <v>52660266.419999972</v>
      </c>
      <c r="G8" s="146">
        <f>dados_icms!G6</f>
        <v>677644013.40999925</v>
      </c>
      <c r="H8" s="146">
        <f>dados_icms!H6</f>
        <v>382138153.94000006</v>
      </c>
      <c r="I8" s="146">
        <f>dados_icms!I6</f>
        <v>810037.84000000008</v>
      </c>
      <c r="J8" s="146">
        <f>dados_icms!J6</f>
        <v>3578718.94</v>
      </c>
      <c r="K8" s="146">
        <f>dados_icms!K6</f>
        <v>820830257.67999983</v>
      </c>
      <c r="L8" s="146">
        <f>dados_icms!L6</f>
        <v>65843454.789999984</v>
      </c>
      <c r="M8" s="146">
        <f>dados_icms!M6</f>
        <v>34686536.699999996</v>
      </c>
      <c r="N8" s="146">
        <f>dados_icms!N6</f>
        <v>320051671.18999994</v>
      </c>
      <c r="O8" s="146">
        <f>dados_icms!O6</f>
        <v>247213.33000000002</v>
      </c>
      <c r="P8" s="146">
        <f>dados_icms!P6</f>
        <v>39352.49</v>
      </c>
      <c r="Q8" s="146">
        <f>dados_icms!Q6</f>
        <v>2659613.9400000004</v>
      </c>
      <c r="R8" s="146">
        <f>dados_icms!R6</f>
        <v>3192073.8500000006</v>
      </c>
      <c r="S8" s="146">
        <f>dados_icms!S6</f>
        <v>310163.86</v>
      </c>
      <c r="T8" s="146">
        <f>dados_icms!T6</f>
        <v>184279.12999999998</v>
      </c>
      <c r="U8" s="146">
        <f>dados_icms!U6</f>
        <v>52390.069999999992</v>
      </c>
      <c r="V8" s="146">
        <f>dados_icms!V6</f>
        <v>268562.15000000002</v>
      </c>
      <c r="W8" s="146">
        <f>dados_icms!W6</f>
        <v>1197391.3299999998</v>
      </c>
      <c r="X8" s="152">
        <f>dados_icms!X6</f>
        <v>2366787994.3899994</v>
      </c>
    </row>
    <row r="9" spans="1:24" x14ac:dyDescent="0.25">
      <c r="A9" s="8" t="str">
        <f>dados_icms!A7</f>
        <v>20174</v>
      </c>
      <c r="B9" s="8">
        <f>dados_icms!B7</f>
        <v>2017</v>
      </c>
      <c r="C9" s="8">
        <f>dados_icms!C7</f>
        <v>4</v>
      </c>
      <c r="D9" s="145">
        <f>dados_icms!D7</f>
        <v>42826</v>
      </c>
      <c r="E9" s="146">
        <f>dados_icms!E7</f>
        <v>321012.06</v>
      </c>
      <c r="F9" s="146">
        <f>dados_icms!F7</f>
        <v>38752131.820000008</v>
      </c>
      <c r="G9" s="146">
        <f>dados_icms!G7</f>
        <v>780594461.40999913</v>
      </c>
      <c r="H9" s="146">
        <f>dados_icms!H7</f>
        <v>634312489.26999998</v>
      </c>
      <c r="I9" s="146">
        <f>dados_icms!I7</f>
        <v>1937218.57</v>
      </c>
      <c r="J9" s="146">
        <f>dados_icms!J7</f>
        <v>4917574.6500000022</v>
      </c>
      <c r="K9" s="146">
        <f>dados_icms!K7</f>
        <v>935835128.63000035</v>
      </c>
      <c r="L9" s="146">
        <f>dados_icms!L7</f>
        <v>66958921.990000017</v>
      </c>
      <c r="M9" s="146">
        <f>dados_icms!M7</f>
        <v>37530277.219999999</v>
      </c>
      <c r="N9" s="146">
        <f>dados_icms!N7</f>
        <v>342046148.62999994</v>
      </c>
      <c r="O9" s="146">
        <f>dados_icms!O7</f>
        <v>258497.77999999994</v>
      </c>
      <c r="P9" s="146">
        <f>dados_icms!P7</f>
        <v>3467.17</v>
      </c>
      <c r="Q9" s="146">
        <f>dados_icms!Q7</f>
        <v>6239396.8900000006</v>
      </c>
      <c r="R9" s="146">
        <f>dados_icms!R7</f>
        <v>4209720.03</v>
      </c>
      <c r="S9" s="146">
        <f>dados_icms!S7</f>
        <v>480682.27</v>
      </c>
      <c r="T9" s="146">
        <f>dados_icms!T7</f>
        <v>122367.88</v>
      </c>
      <c r="U9" s="146">
        <f>dados_icms!U7</f>
        <v>92646.590000000011</v>
      </c>
      <c r="V9" s="146">
        <f>dados_icms!V7</f>
        <v>245191.91</v>
      </c>
      <c r="W9" s="146">
        <f>dados_icms!W7</f>
        <v>1514273.09</v>
      </c>
      <c r="X9" s="152">
        <f>dados_icms!X7</f>
        <v>2856371607.8600001</v>
      </c>
    </row>
    <row r="10" spans="1:24" x14ac:dyDescent="0.25">
      <c r="A10" s="8" t="str">
        <f>dados_icms!A8</f>
        <v>20175</v>
      </c>
      <c r="B10" s="8">
        <f>dados_icms!B8</f>
        <v>2017</v>
      </c>
      <c r="C10" s="8">
        <f>dados_icms!C8</f>
        <v>5</v>
      </c>
      <c r="D10" s="145">
        <f>dados_icms!D8</f>
        <v>42856</v>
      </c>
      <c r="E10" s="146">
        <f>dados_icms!E8</f>
        <v>578229.97000000009</v>
      </c>
      <c r="F10" s="146">
        <f>dados_icms!F8</f>
        <v>48624662.5</v>
      </c>
      <c r="G10" s="146">
        <f>dados_icms!G8</f>
        <v>603671532.44000041</v>
      </c>
      <c r="H10" s="146">
        <f>dados_icms!H8</f>
        <v>494710702.78000009</v>
      </c>
      <c r="I10" s="146">
        <f>dados_icms!I8</f>
        <v>1384983.6500000001</v>
      </c>
      <c r="J10" s="146">
        <f>dados_icms!J8</f>
        <v>3788503.9999999995</v>
      </c>
      <c r="K10" s="146">
        <f>dados_icms!K8</f>
        <v>882181278.67999995</v>
      </c>
      <c r="L10" s="146">
        <f>dados_icms!L8</f>
        <v>62501345.419999994</v>
      </c>
      <c r="M10" s="146">
        <f>dados_icms!M8</f>
        <v>35511236.109999992</v>
      </c>
      <c r="N10" s="146">
        <f>dados_icms!N8</f>
        <v>363661941.34000003</v>
      </c>
      <c r="O10" s="146">
        <f>dados_icms!O8</f>
        <v>193589.54</v>
      </c>
      <c r="P10" s="146">
        <f>dados_icms!P8</f>
        <v>14894.18</v>
      </c>
      <c r="Q10" s="146">
        <f>dados_icms!Q8</f>
        <v>2924184.23</v>
      </c>
      <c r="R10" s="146">
        <f>dados_icms!R8</f>
        <v>3683718.1</v>
      </c>
      <c r="S10" s="146">
        <f>dados_icms!S8</f>
        <v>438055.78</v>
      </c>
      <c r="T10" s="146">
        <f>dados_icms!T8</f>
        <v>102982.03000000001</v>
      </c>
      <c r="U10" s="146">
        <f>dados_icms!U8</f>
        <v>75416.200000000012</v>
      </c>
      <c r="V10" s="146">
        <f>dados_icms!V8</f>
        <v>355785.75</v>
      </c>
      <c r="W10" s="146">
        <f>dados_icms!W8</f>
        <v>1572919.66</v>
      </c>
      <c r="X10" s="152">
        <f>dados_icms!X8</f>
        <v>2505975962.3600001</v>
      </c>
    </row>
    <row r="11" spans="1:24" x14ac:dyDescent="0.25">
      <c r="A11" s="8" t="str">
        <f>dados_icms!A9</f>
        <v>20176</v>
      </c>
      <c r="B11" s="8">
        <f>dados_icms!B9</f>
        <v>2017</v>
      </c>
      <c r="C11" s="8">
        <f>dados_icms!C9</f>
        <v>6</v>
      </c>
      <c r="D11" s="145">
        <f>dados_icms!D9</f>
        <v>42887</v>
      </c>
      <c r="E11" s="146">
        <f>dados_icms!E9</f>
        <v>590312.41000000015</v>
      </c>
      <c r="F11" s="146">
        <f>dados_icms!F9</f>
        <v>41188032.640000001</v>
      </c>
      <c r="G11" s="146">
        <f>dados_icms!G9</f>
        <v>663993880.29000092</v>
      </c>
      <c r="H11" s="146">
        <f>dados_icms!H9</f>
        <v>420107664.80999994</v>
      </c>
      <c r="I11" s="146">
        <f>dados_icms!I9</f>
        <v>1629723.6700000002</v>
      </c>
      <c r="J11" s="146">
        <f>dados_icms!J9</f>
        <v>4229243.9600000009</v>
      </c>
      <c r="K11" s="146">
        <f>dados_icms!K9</f>
        <v>905099916.97000074</v>
      </c>
      <c r="L11" s="146">
        <f>dados_icms!L9</f>
        <v>73954125.310000002</v>
      </c>
      <c r="M11" s="146">
        <f>dados_icms!M9</f>
        <v>34048981.619999997</v>
      </c>
      <c r="N11" s="146">
        <f>dados_icms!N9</f>
        <v>364824055.83000004</v>
      </c>
      <c r="O11" s="146">
        <f>dados_icms!O9</f>
        <v>211201.31</v>
      </c>
      <c r="P11" s="146">
        <f>dados_icms!P9</f>
        <v>26081.780000000002</v>
      </c>
      <c r="Q11" s="146">
        <f>dados_icms!Q9</f>
        <v>4047405.38</v>
      </c>
      <c r="R11" s="146">
        <f>dados_icms!R9</f>
        <v>3621190.0700000003</v>
      </c>
      <c r="S11" s="146">
        <f>dados_icms!S9</f>
        <v>301394.56</v>
      </c>
      <c r="T11" s="146">
        <f>dados_icms!T9</f>
        <v>131187.28</v>
      </c>
      <c r="U11" s="146">
        <f>dados_icms!U9</f>
        <v>92916.53</v>
      </c>
      <c r="V11" s="146">
        <f>dados_icms!V9</f>
        <v>233645.84</v>
      </c>
      <c r="W11" s="146">
        <f>dados_icms!W9</f>
        <v>1107930.8699999999</v>
      </c>
      <c r="X11" s="152">
        <f>dados_icms!X9</f>
        <v>2519438891.1300025</v>
      </c>
    </row>
    <row r="12" spans="1:24" x14ac:dyDescent="0.25">
      <c r="A12" s="8" t="str">
        <f>dados_icms!A10</f>
        <v>20177</v>
      </c>
      <c r="B12" s="8">
        <f>dados_icms!B10</f>
        <v>2017</v>
      </c>
      <c r="C12" s="8">
        <f>dados_icms!C10</f>
        <v>7</v>
      </c>
      <c r="D12" s="145">
        <f>dados_icms!D10</f>
        <v>42917</v>
      </c>
      <c r="E12" s="146">
        <f>dados_icms!E10</f>
        <v>796539.10999999987</v>
      </c>
      <c r="F12" s="146">
        <f>dados_icms!F10</f>
        <v>48730336.840000004</v>
      </c>
      <c r="G12" s="146">
        <f>dados_icms!G10</f>
        <v>752662526.83999956</v>
      </c>
      <c r="H12" s="146">
        <f>dados_icms!H10</f>
        <v>393161952.69000006</v>
      </c>
      <c r="I12" s="146">
        <f>dados_icms!I10</f>
        <v>1391052.25</v>
      </c>
      <c r="J12" s="146">
        <f>dados_icms!J10</f>
        <v>4061163.0299999984</v>
      </c>
      <c r="K12" s="146">
        <f>dados_icms!K10</f>
        <v>864320854.06999969</v>
      </c>
      <c r="L12" s="146">
        <f>dados_icms!L10</f>
        <v>70458010.640000015</v>
      </c>
      <c r="M12" s="146">
        <f>dados_icms!M10</f>
        <v>33626342.969999991</v>
      </c>
      <c r="N12" s="146">
        <f>dados_icms!N10</f>
        <v>308594474.15999997</v>
      </c>
      <c r="O12" s="146">
        <f>dados_icms!O10</f>
        <v>197105.96</v>
      </c>
      <c r="P12" s="146">
        <f>dados_icms!P10</f>
        <v>9791.0999999999985</v>
      </c>
      <c r="Q12" s="146">
        <f>dados_icms!Q10</f>
        <v>5332161.4999999991</v>
      </c>
      <c r="R12" s="146">
        <f>dados_icms!R10</f>
        <v>3193058.54</v>
      </c>
      <c r="S12" s="146">
        <f>dados_icms!S10</f>
        <v>334059.81</v>
      </c>
      <c r="T12" s="146">
        <f>dados_icms!T10</f>
        <v>85472.14</v>
      </c>
      <c r="U12" s="146">
        <f>dados_icms!U10</f>
        <v>79755.189999999988</v>
      </c>
      <c r="V12" s="146">
        <f>dados_icms!V10</f>
        <v>348240.11</v>
      </c>
      <c r="W12" s="146">
        <f>dados_icms!W10</f>
        <v>1219898.4799999997</v>
      </c>
      <c r="X12" s="152">
        <f>dados_icms!X10</f>
        <v>2488602795.4299989</v>
      </c>
    </row>
    <row r="13" spans="1:24" x14ac:dyDescent="0.25">
      <c r="A13" s="8" t="str">
        <f>dados_icms!A11</f>
        <v>20178</v>
      </c>
      <c r="B13" s="8">
        <f>dados_icms!B11</f>
        <v>2017</v>
      </c>
      <c r="C13" s="8">
        <f>dados_icms!C11</f>
        <v>8</v>
      </c>
      <c r="D13" s="145">
        <f>dados_icms!D11</f>
        <v>42948</v>
      </c>
      <c r="E13" s="146">
        <f>dados_icms!E11</f>
        <v>818316.54999999981</v>
      </c>
      <c r="F13" s="146">
        <f>dados_icms!F11</f>
        <v>46924892.039999999</v>
      </c>
      <c r="G13" s="146">
        <f>dados_icms!G11</f>
        <v>768264953.24999881</v>
      </c>
      <c r="H13" s="146">
        <f>dados_icms!H11</f>
        <v>334681548.79000002</v>
      </c>
      <c r="I13" s="146">
        <f>dados_icms!I11</f>
        <v>1402261.12</v>
      </c>
      <c r="J13" s="146">
        <f>dados_icms!J11</f>
        <v>4017872.2299999995</v>
      </c>
      <c r="K13" s="146">
        <f>dados_icms!K11</f>
        <v>932698041.21999967</v>
      </c>
      <c r="L13" s="146">
        <f>dados_icms!L11</f>
        <v>72800048.219999999</v>
      </c>
      <c r="M13" s="146">
        <f>dados_icms!M11</f>
        <v>35060672.340000004</v>
      </c>
      <c r="N13" s="146">
        <f>dados_icms!N11</f>
        <v>311338482.77999997</v>
      </c>
      <c r="O13" s="146">
        <f>dados_icms!O11</f>
        <v>199055.44000000003</v>
      </c>
      <c r="P13" s="146">
        <f>dados_icms!P11</f>
        <v>11882.789999999999</v>
      </c>
      <c r="Q13" s="146">
        <f>dados_icms!Q11</f>
        <v>6876811.8099999987</v>
      </c>
      <c r="R13" s="146">
        <f>dados_icms!R11</f>
        <v>4282051.51</v>
      </c>
      <c r="S13" s="146">
        <f>dados_icms!S11</f>
        <v>534529.84</v>
      </c>
      <c r="T13" s="146">
        <f>dados_icms!T11</f>
        <v>133930.32999999999</v>
      </c>
      <c r="U13" s="146">
        <f>dados_icms!U11</f>
        <v>73677.599999999991</v>
      </c>
      <c r="V13" s="146">
        <f>dados_icms!V11</f>
        <v>519479.01</v>
      </c>
      <c r="W13" s="146">
        <f>dados_icms!W11</f>
        <v>1486655.8599999999</v>
      </c>
      <c r="X13" s="152">
        <f>dados_icms!X11</f>
        <v>2522125162.7299986</v>
      </c>
    </row>
    <row r="14" spans="1:24" x14ac:dyDescent="0.25">
      <c r="A14" s="8" t="str">
        <f>dados_icms!A12</f>
        <v>20179</v>
      </c>
      <c r="B14" s="8">
        <f>dados_icms!B12</f>
        <v>2017</v>
      </c>
      <c r="C14" s="8">
        <f>dados_icms!C12</f>
        <v>9</v>
      </c>
      <c r="D14" s="145">
        <f>dados_icms!D12</f>
        <v>42979</v>
      </c>
      <c r="E14" s="146">
        <f>dados_icms!E12</f>
        <v>378773.85</v>
      </c>
      <c r="F14" s="146">
        <f>dados_icms!F12</f>
        <v>122098356.65000001</v>
      </c>
      <c r="G14" s="146">
        <f>dados_icms!G12</f>
        <v>723734432.14999986</v>
      </c>
      <c r="H14" s="146">
        <f>dados_icms!H12</f>
        <v>438590718.38999993</v>
      </c>
      <c r="I14" s="146">
        <f>dados_icms!I12</f>
        <v>1517635.3000000003</v>
      </c>
      <c r="J14" s="146">
        <f>dados_icms!J12</f>
        <v>3705183.5599999991</v>
      </c>
      <c r="K14" s="146">
        <f>dados_icms!K12</f>
        <v>928525811.13999975</v>
      </c>
      <c r="L14" s="146">
        <f>dados_icms!L12</f>
        <v>73258223.679999977</v>
      </c>
      <c r="M14" s="146">
        <f>dados_icms!M12</f>
        <v>35637239.839999989</v>
      </c>
      <c r="N14" s="146">
        <f>dados_icms!N12</f>
        <v>336025728.06000006</v>
      </c>
      <c r="O14" s="146">
        <f>dados_icms!O12</f>
        <v>181122.90999999997</v>
      </c>
      <c r="P14" s="146">
        <f>dados_icms!P12</f>
        <v>9188.59</v>
      </c>
      <c r="Q14" s="146">
        <f>dados_icms!Q12</f>
        <v>3950869.5500000012</v>
      </c>
      <c r="R14" s="146">
        <f>dados_icms!R12</f>
        <v>4408646.24</v>
      </c>
      <c r="S14" s="146">
        <f>dados_icms!S12</f>
        <v>426226.47</v>
      </c>
      <c r="T14" s="146">
        <f>dados_icms!T12</f>
        <v>146465.37</v>
      </c>
      <c r="U14" s="146">
        <f>dados_icms!U12</f>
        <v>104180.42</v>
      </c>
      <c r="V14" s="146">
        <f>dados_icms!V12</f>
        <v>341477.64</v>
      </c>
      <c r="W14" s="146">
        <f>dados_icms!W12</f>
        <v>1260352.5500000005</v>
      </c>
      <c r="X14" s="152">
        <f>dados_icms!X12</f>
        <v>2674300632.3599992</v>
      </c>
    </row>
    <row r="15" spans="1:24" x14ac:dyDescent="0.25">
      <c r="A15" s="8" t="str">
        <f>dados_icms!A13</f>
        <v>201710</v>
      </c>
      <c r="B15" s="8">
        <f>dados_icms!B13</f>
        <v>2017</v>
      </c>
      <c r="C15" s="8">
        <f>dados_icms!C13</f>
        <v>10</v>
      </c>
      <c r="D15" s="145">
        <f>dados_icms!D13</f>
        <v>43009</v>
      </c>
      <c r="E15" s="146">
        <f>dados_icms!E13</f>
        <v>263049.84000000008</v>
      </c>
      <c r="F15" s="146">
        <f>dados_icms!F13</f>
        <v>35439383.100000001</v>
      </c>
      <c r="G15" s="146">
        <f>dados_icms!G13</f>
        <v>741197343.9199996</v>
      </c>
      <c r="H15" s="146">
        <f>dados_icms!H13</f>
        <v>448730845.50000012</v>
      </c>
      <c r="I15" s="146">
        <f>dados_icms!I13</f>
        <v>1570713.5100000005</v>
      </c>
      <c r="J15" s="146">
        <f>dados_icms!J13</f>
        <v>3611207.5699999994</v>
      </c>
      <c r="K15" s="146">
        <f>dados_icms!K13</f>
        <v>915309828.60000002</v>
      </c>
      <c r="L15" s="146">
        <f>dados_icms!L13</f>
        <v>74130832.069999993</v>
      </c>
      <c r="M15" s="146">
        <f>dados_icms!M13</f>
        <v>35597355.260000005</v>
      </c>
      <c r="N15" s="146">
        <f>dados_icms!N13</f>
        <v>351956192.15000004</v>
      </c>
      <c r="O15" s="146">
        <f>dados_icms!O13</f>
        <v>218635.02</v>
      </c>
      <c r="P15" s="146">
        <f>dados_icms!P13</f>
        <v>4797.37</v>
      </c>
      <c r="Q15" s="146">
        <f>dados_icms!Q13</f>
        <v>3876732.6700000004</v>
      </c>
      <c r="R15" s="146">
        <f>dados_icms!R13</f>
        <v>3863439.1799999997</v>
      </c>
      <c r="S15" s="146">
        <f>dados_icms!S13</f>
        <v>523019.97999999992</v>
      </c>
      <c r="T15" s="146">
        <f>dados_icms!T13</f>
        <v>109322.9</v>
      </c>
      <c r="U15" s="146">
        <f>dados_icms!U13</f>
        <v>58529.280000000006</v>
      </c>
      <c r="V15" s="146">
        <f>dados_icms!V13</f>
        <v>308919.62</v>
      </c>
      <c r="W15" s="146">
        <f>dados_icms!W13</f>
        <v>1098143.9400000002</v>
      </c>
      <c r="X15" s="152">
        <f>dados_icms!X13</f>
        <v>2617868291.48</v>
      </c>
    </row>
    <row r="16" spans="1:24" x14ac:dyDescent="0.25">
      <c r="A16" s="8" t="str">
        <f>dados_icms!A14</f>
        <v>201711</v>
      </c>
      <c r="B16" s="8">
        <f>dados_icms!B14</f>
        <v>2017</v>
      </c>
      <c r="C16" s="8">
        <f>dados_icms!C14</f>
        <v>11</v>
      </c>
      <c r="D16" s="145">
        <f>dados_icms!D14</f>
        <v>43040</v>
      </c>
      <c r="E16" s="146">
        <f>dados_icms!E14</f>
        <v>363014.41000000003</v>
      </c>
      <c r="F16" s="146">
        <f>dados_icms!F14</f>
        <v>96894580.810000002</v>
      </c>
      <c r="G16" s="146">
        <f>dados_icms!G14</f>
        <v>670583813.37</v>
      </c>
      <c r="H16" s="146">
        <f>dados_icms!H14</f>
        <v>546651812.87</v>
      </c>
      <c r="I16" s="146">
        <f>dados_icms!I14</f>
        <v>1708533.0600000003</v>
      </c>
      <c r="J16" s="146">
        <f>dados_icms!J14</f>
        <v>3937922.2400000007</v>
      </c>
      <c r="K16" s="146">
        <f>dados_icms!K14</f>
        <v>985256938.24000025</v>
      </c>
      <c r="L16" s="146">
        <f>dados_icms!L14</f>
        <v>78251251.400000006</v>
      </c>
      <c r="M16" s="146">
        <f>dados_icms!M14</f>
        <v>34133682.610000007</v>
      </c>
      <c r="N16" s="146">
        <f>dados_icms!N14</f>
        <v>355651332.25999993</v>
      </c>
      <c r="O16" s="146">
        <f>dados_icms!O14</f>
        <v>190005.91</v>
      </c>
      <c r="P16" s="146">
        <f>dados_icms!P14</f>
        <v>3504.34</v>
      </c>
      <c r="Q16" s="146">
        <f>dados_icms!Q14</f>
        <v>5052023.1999999993</v>
      </c>
      <c r="R16" s="146">
        <f>dados_icms!R14</f>
        <v>4354314.71</v>
      </c>
      <c r="S16" s="146">
        <f>dados_icms!S14</f>
        <v>4756.28</v>
      </c>
      <c r="T16" s="146">
        <f>dados_icms!T14</f>
        <v>161412.15</v>
      </c>
      <c r="U16" s="146">
        <f>dados_icms!U14</f>
        <v>98706.909999999974</v>
      </c>
      <c r="V16" s="146">
        <f>dados_icms!V14</f>
        <v>556889.36</v>
      </c>
      <c r="W16" s="146">
        <f>dados_icms!W14</f>
        <v>1581689.6399999997</v>
      </c>
      <c r="X16" s="152">
        <f>dados_icms!X14</f>
        <v>2785436183.77</v>
      </c>
    </row>
    <row r="17" spans="1:24" x14ac:dyDescent="0.25">
      <c r="A17" s="8" t="str">
        <f>dados_icms!A15</f>
        <v>201712</v>
      </c>
      <c r="B17" s="8">
        <f>dados_icms!B15</f>
        <v>2017</v>
      </c>
      <c r="C17" s="8">
        <f>dados_icms!C15</f>
        <v>12</v>
      </c>
      <c r="D17" s="145">
        <f>dados_icms!D15</f>
        <v>43070</v>
      </c>
      <c r="E17" s="146">
        <f>dados_icms!E15</f>
        <v>372874.81999999995</v>
      </c>
      <c r="F17" s="146">
        <f>dados_icms!F15</f>
        <v>138725349.55000001</v>
      </c>
      <c r="G17" s="146">
        <f>dados_icms!G15</f>
        <v>792520838.64000022</v>
      </c>
      <c r="H17" s="146">
        <f>dados_icms!H15</f>
        <v>594949248.56999993</v>
      </c>
      <c r="I17" s="146">
        <f>dados_icms!I15</f>
        <v>1528763.4899999998</v>
      </c>
      <c r="J17" s="146">
        <f>dados_icms!J15</f>
        <v>3837582.35</v>
      </c>
      <c r="K17" s="146">
        <f>dados_icms!K15</f>
        <v>1012851261.3699998</v>
      </c>
      <c r="L17" s="146">
        <f>dados_icms!L15</f>
        <v>72187261.219999999</v>
      </c>
      <c r="M17" s="146">
        <f>dados_icms!M15</f>
        <v>36289564.229999997</v>
      </c>
      <c r="N17" s="146">
        <f>dados_icms!N15</f>
        <v>426534447.34000009</v>
      </c>
      <c r="O17" s="146">
        <f>dados_icms!O15</f>
        <v>202366.56</v>
      </c>
      <c r="P17" s="146">
        <f>dados_icms!P15</f>
        <v>6447.25</v>
      </c>
      <c r="Q17" s="146">
        <f>dados_icms!Q15</f>
        <v>3400891.5000000009</v>
      </c>
      <c r="R17" s="146">
        <f>dados_icms!R15</f>
        <v>5633952.7299999995</v>
      </c>
      <c r="S17" s="146">
        <f>dados_icms!S15</f>
        <v>305114.53999999998</v>
      </c>
      <c r="T17" s="146">
        <f>dados_icms!T15</f>
        <v>130690.64</v>
      </c>
      <c r="U17" s="146">
        <f>dados_icms!U15</f>
        <v>63381.73000000001</v>
      </c>
      <c r="V17" s="146">
        <f>dados_icms!V15</f>
        <v>315172.11000000004</v>
      </c>
      <c r="W17" s="146">
        <f>dados_icms!W15</f>
        <v>2729994.11</v>
      </c>
      <c r="X17" s="152">
        <f>dados_icms!X15</f>
        <v>3092585202.75</v>
      </c>
    </row>
    <row r="18" spans="1:24" x14ac:dyDescent="0.25">
      <c r="A18" s="8" t="str">
        <f>dados_icms!A16</f>
        <v>20181</v>
      </c>
      <c r="B18" s="8">
        <f>dados_icms!B16</f>
        <v>2018</v>
      </c>
      <c r="C18" s="8">
        <f>dados_icms!C16</f>
        <v>1</v>
      </c>
      <c r="D18" s="145">
        <f>dados_icms!D16</f>
        <v>43101</v>
      </c>
      <c r="E18" s="146">
        <f>dados_icms!E16</f>
        <v>1176176.73</v>
      </c>
      <c r="F18" s="146">
        <f>dados_icms!F16</f>
        <v>49921864.579999998</v>
      </c>
      <c r="G18" s="146">
        <f>dados_icms!G16</f>
        <v>799581084.05000019</v>
      </c>
      <c r="H18" s="146">
        <f>dados_icms!H16</f>
        <v>527091971.75999999</v>
      </c>
      <c r="I18" s="146">
        <f>dados_icms!I16</f>
        <v>1668960.32</v>
      </c>
      <c r="J18" s="146">
        <f>dados_icms!J16</f>
        <v>3135366.22</v>
      </c>
      <c r="K18" s="146">
        <f>dados_icms!K16</f>
        <v>1188087294.349999</v>
      </c>
      <c r="L18" s="146">
        <f>dados_icms!L16</f>
        <v>77245646.23999998</v>
      </c>
      <c r="M18" s="146">
        <f>dados_icms!M16</f>
        <v>41588948.829999998</v>
      </c>
      <c r="N18" s="146">
        <f>dados_icms!N16</f>
        <v>303275920.94999993</v>
      </c>
      <c r="O18" s="146">
        <f>dados_icms!O16</f>
        <v>227463.45999999996</v>
      </c>
      <c r="P18" s="146">
        <f>dados_icms!P16</f>
        <v>10551.94</v>
      </c>
      <c r="Q18" s="146">
        <f>dados_icms!Q16</f>
        <v>4999227.08</v>
      </c>
      <c r="R18" s="146">
        <f>dados_icms!R16</f>
        <v>5902744.4400000013</v>
      </c>
      <c r="S18" s="146">
        <f>dados_icms!S16</f>
        <v>157288.79</v>
      </c>
      <c r="T18" s="146">
        <f>dados_icms!T16</f>
        <v>149819.82</v>
      </c>
      <c r="U18" s="146">
        <f>dados_icms!U16</f>
        <v>24649.47</v>
      </c>
      <c r="V18" s="146">
        <f>dados_icms!V16</f>
        <v>389030.25000000006</v>
      </c>
      <c r="W18" s="146">
        <f>dados_icms!W16</f>
        <v>1269438.5999999996</v>
      </c>
      <c r="X18" s="152">
        <f>dados_icms!X16</f>
        <v>3005903447.8799987</v>
      </c>
    </row>
    <row r="19" spans="1:24" x14ac:dyDescent="0.25">
      <c r="A19" s="8" t="str">
        <f>dados_icms!A17</f>
        <v>20182</v>
      </c>
      <c r="B19" s="8">
        <f>dados_icms!B17</f>
        <v>2018</v>
      </c>
      <c r="C19" s="8">
        <f>dados_icms!C17</f>
        <v>2</v>
      </c>
      <c r="D19" s="145">
        <f>dados_icms!D17</f>
        <v>43132</v>
      </c>
      <c r="E19" s="146">
        <f>dados_icms!E17</f>
        <v>641089.23</v>
      </c>
      <c r="F19" s="146">
        <f>dados_icms!F17</f>
        <v>249244084.20999995</v>
      </c>
      <c r="G19" s="146">
        <f>dados_icms!G17</f>
        <v>708017709.06999981</v>
      </c>
      <c r="H19" s="146">
        <f>dados_icms!H17</f>
        <v>536207055.90000004</v>
      </c>
      <c r="I19" s="146">
        <f>dados_icms!I17</f>
        <v>2033350.6699999997</v>
      </c>
      <c r="J19" s="146">
        <f>dados_icms!J17</f>
        <v>2526648.9899999988</v>
      </c>
      <c r="K19" s="146">
        <f>dados_icms!K17</f>
        <v>938459074.32000017</v>
      </c>
      <c r="L19" s="146">
        <f>dados_icms!L17</f>
        <v>75396158.950000003</v>
      </c>
      <c r="M19" s="146">
        <f>dados_icms!M17</f>
        <v>38389588.510000005</v>
      </c>
      <c r="N19" s="146">
        <f>dados_icms!N17</f>
        <v>302138714.56999987</v>
      </c>
      <c r="O19" s="146">
        <f>dados_icms!O17</f>
        <v>230825.77999999997</v>
      </c>
      <c r="P19" s="146">
        <f>dados_icms!P17</f>
        <v>6032.8099999999995</v>
      </c>
      <c r="Q19" s="146">
        <f>dados_icms!Q17</f>
        <v>4258646.6499999994</v>
      </c>
      <c r="R19" s="146">
        <f>dados_icms!R17</f>
        <v>3496308.8299999991</v>
      </c>
      <c r="S19" s="146">
        <f>dados_icms!S17</f>
        <v>4895.3</v>
      </c>
      <c r="T19" s="146">
        <f>dados_icms!T17</f>
        <v>277640.34000000003</v>
      </c>
      <c r="U19" s="146">
        <f>dados_icms!U17</f>
        <v>18484.769999999997</v>
      </c>
      <c r="V19" s="146">
        <f>dados_icms!V17</f>
        <v>516669.68999999994</v>
      </c>
      <c r="W19" s="146">
        <f>dados_icms!W17</f>
        <v>1416968.3</v>
      </c>
      <c r="X19" s="152">
        <f>dados_icms!X17</f>
        <v>2863279946.8900008</v>
      </c>
    </row>
    <row r="20" spans="1:24" x14ac:dyDescent="0.25">
      <c r="A20" s="8" t="str">
        <f>dados_icms!A18</f>
        <v>20183</v>
      </c>
      <c r="B20" s="8">
        <f>dados_icms!B18</f>
        <v>2018</v>
      </c>
      <c r="C20" s="8">
        <f>dados_icms!C18</f>
        <v>3</v>
      </c>
      <c r="D20" s="145">
        <f>dados_icms!D18</f>
        <v>43160</v>
      </c>
      <c r="E20" s="146">
        <f>dados_icms!E18</f>
        <v>272960.81000000006</v>
      </c>
      <c r="F20" s="146">
        <f>dados_icms!F18</f>
        <v>42208018.160000011</v>
      </c>
      <c r="G20" s="146">
        <f>dados_icms!G18</f>
        <v>747010801.0000006</v>
      </c>
      <c r="H20" s="146">
        <f>dados_icms!H18</f>
        <v>541048760.10000002</v>
      </c>
      <c r="I20" s="146">
        <f>dados_icms!I18</f>
        <v>1787952.86</v>
      </c>
      <c r="J20" s="146">
        <f>dados_icms!J18</f>
        <v>2224650.600000001</v>
      </c>
      <c r="K20" s="146">
        <f>dados_icms!K18</f>
        <v>932852977.6400001</v>
      </c>
      <c r="L20" s="146">
        <f>dados_icms!L18</f>
        <v>67297093.120000005</v>
      </c>
      <c r="M20" s="146">
        <f>dados_icms!M18</f>
        <v>32822731.490000002</v>
      </c>
      <c r="N20" s="146">
        <f>dados_icms!N18</f>
        <v>302272705.58999991</v>
      </c>
      <c r="O20" s="146">
        <f>dados_icms!O18</f>
        <v>250743.05000000005</v>
      </c>
      <c r="P20" s="146">
        <f>dados_icms!P18</f>
        <v>26758.670000000002</v>
      </c>
      <c r="Q20" s="146">
        <f>dados_icms!Q18</f>
        <v>4889966.22</v>
      </c>
      <c r="R20" s="146">
        <f>dados_icms!R18</f>
        <v>4204125.5200000005</v>
      </c>
      <c r="S20" s="146">
        <f>dados_icms!S18</f>
        <v>7877.6</v>
      </c>
      <c r="T20" s="146">
        <f>dados_icms!T18</f>
        <v>204672.71000000002</v>
      </c>
      <c r="U20" s="146">
        <f>dados_icms!U18</f>
        <v>25571.480000000003</v>
      </c>
      <c r="V20" s="146">
        <f>dados_icms!V18</f>
        <v>273542.32</v>
      </c>
      <c r="W20" s="146">
        <f>dados_icms!W18</f>
        <v>1493366.3</v>
      </c>
      <c r="X20" s="152">
        <f>dados_icms!X18</f>
        <v>2681175275.2400002</v>
      </c>
    </row>
    <row r="21" spans="1:24" x14ac:dyDescent="0.25">
      <c r="A21" s="8" t="str">
        <f>dados_icms!A19</f>
        <v>20184</v>
      </c>
      <c r="B21" s="8">
        <f>dados_icms!B19</f>
        <v>2018</v>
      </c>
      <c r="C21" s="8">
        <f>dados_icms!C19</f>
        <v>4</v>
      </c>
      <c r="D21" s="145">
        <f>dados_icms!D19</f>
        <v>43191</v>
      </c>
      <c r="E21" s="146">
        <f>dados_icms!E19</f>
        <v>363755.58999999991</v>
      </c>
      <c r="F21" s="146">
        <f>dados_icms!F19</f>
        <v>53450090.780000001</v>
      </c>
      <c r="G21" s="146">
        <f>dados_icms!G19</f>
        <v>745012751.10000074</v>
      </c>
      <c r="H21" s="146">
        <f>dados_icms!H19</f>
        <v>562534877.84000003</v>
      </c>
      <c r="I21" s="146">
        <f>dados_icms!I19</f>
        <v>1892167.3699999996</v>
      </c>
      <c r="J21" s="146">
        <f>dados_icms!J19</f>
        <v>3616110.0199999996</v>
      </c>
      <c r="K21" s="146">
        <f>dados_icms!K19</f>
        <v>942926331.23999989</v>
      </c>
      <c r="L21" s="146">
        <f>dados_icms!L19</f>
        <v>79355044.179999977</v>
      </c>
      <c r="M21" s="146">
        <f>dados_icms!M19</f>
        <v>36106302.039999999</v>
      </c>
      <c r="N21" s="146">
        <f>dados_icms!N19</f>
        <v>309187027.31000012</v>
      </c>
      <c r="O21" s="146">
        <f>dados_icms!O19</f>
        <v>252163.28</v>
      </c>
      <c r="P21" s="146">
        <f>dados_icms!P19</f>
        <v>66568.460000000006</v>
      </c>
      <c r="Q21" s="146">
        <f>dados_icms!Q19</f>
        <v>4751221.9799999995</v>
      </c>
      <c r="R21" s="146">
        <f>dados_icms!R19</f>
        <v>4282047.9899999993</v>
      </c>
      <c r="S21" s="146">
        <f>dados_icms!S19</f>
        <v>18482.869999999995</v>
      </c>
      <c r="T21" s="146">
        <f>dados_icms!T19</f>
        <v>163162.65</v>
      </c>
      <c r="U21" s="146">
        <f>dados_icms!U19</f>
        <v>31164.14</v>
      </c>
      <c r="V21" s="146">
        <f>dados_icms!V19</f>
        <v>315798.55999999994</v>
      </c>
      <c r="W21" s="146">
        <f>dados_icms!W19</f>
        <v>1253377.6299999997</v>
      </c>
      <c r="X21" s="152">
        <f>dados_icms!X19</f>
        <v>2745578445.0300002</v>
      </c>
    </row>
    <row r="22" spans="1:24" x14ac:dyDescent="0.25">
      <c r="A22" s="8" t="str">
        <f>dados_icms!A20</f>
        <v>20185</v>
      </c>
      <c r="B22" s="8">
        <f>dados_icms!B20</f>
        <v>2018</v>
      </c>
      <c r="C22" s="8">
        <f>dados_icms!C20</f>
        <v>5</v>
      </c>
      <c r="D22" s="145">
        <f>dados_icms!D20</f>
        <v>43221</v>
      </c>
      <c r="E22" s="146">
        <f>dados_icms!E20</f>
        <v>808268.83000000007</v>
      </c>
      <c r="F22" s="146">
        <f>dados_icms!F20</f>
        <v>116601398.08999997</v>
      </c>
      <c r="G22" s="146">
        <f>dados_icms!G20</f>
        <v>992991189.25000095</v>
      </c>
      <c r="H22" s="146">
        <f>dados_icms!H20</f>
        <v>597433634.25</v>
      </c>
      <c r="I22" s="146">
        <f>dados_icms!I20</f>
        <v>1825649.8899999997</v>
      </c>
      <c r="J22" s="146">
        <f>dados_icms!J20</f>
        <v>3677909.8299999996</v>
      </c>
      <c r="K22" s="146">
        <f>dados_icms!K20</f>
        <v>825197415.71999979</v>
      </c>
      <c r="L22" s="146">
        <f>dados_icms!L20</f>
        <v>78191995.150000051</v>
      </c>
      <c r="M22" s="146">
        <f>dados_icms!M20</f>
        <v>34378817.960000001</v>
      </c>
      <c r="N22" s="146">
        <f>dados_icms!N20</f>
        <v>295376602.74000007</v>
      </c>
      <c r="O22" s="146">
        <f>dados_icms!O20</f>
        <v>28730.859999999997</v>
      </c>
      <c r="P22" s="146">
        <f>dados_icms!P20</f>
        <v>29173.989999999998</v>
      </c>
      <c r="Q22" s="146">
        <f>dados_icms!Q20</f>
        <v>3545074.9100000006</v>
      </c>
      <c r="R22" s="146">
        <f>dados_icms!R20</f>
        <v>4621840.2800000012</v>
      </c>
      <c r="S22" s="146">
        <f>dados_icms!S20</f>
        <v>8947.01</v>
      </c>
      <c r="T22" s="146">
        <f>dados_icms!T20</f>
        <v>204392.82</v>
      </c>
      <c r="U22" s="146">
        <f>dados_icms!U20</f>
        <v>50846.509999999995</v>
      </c>
      <c r="V22" s="146">
        <f>dados_icms!V20</f>
        <v>311799.41000000003</v>
      </c>
      <c r="W22" s="146">
        <f>dados_icms!W20</f>
        <v>1057600.5600000003</v>
      </c>
      <c r="X22" s="152">
        <f>dados_icms!X20</f>
        <v>2956341288.0600014</v>
      </c>
    </row>
    <row r="23" spans="1:24" x14ac:dyDescent="0.25">
      <c r="A23" s="8" t="str">
        <f>dados_icms!A21</f>
        <v>20186</v>
      </c>
      <c r="B23" s="8">
        <f>dados_icms!B21</f>
        <v>2018</v>
      </c>
      <c r="C23" s="8">
        <f>dados_icms!C21</f>
        <v>6</v>
      </c>
      <c r="D23" s="145">
        <f>dados_icms!D21</f>
        <v>43252</v>
      </c>
      <c r="E23" s="146">
        <f>dados_icms!E21</f>
        <v>622302.10000000021</v>
      </c>
      <c r="F23" s="146">
        <f>dados_icms!F21</f>
        <v>60708688.600000001</v>
      </c>
      <c r="G23" s="146">
        <f>dados_icms!G21</f>
        <v>830392556.32000005</v>
      </c>
      <c r="H23" s="146">
        <f>dados_icms!H21</f>
        <v>560207455.25</v>
      </c>
      <c r="I23" s="146">
        <f>dados_icms!I21</f>
        <v>1928165.5100000002</v>
      </c>
      <c r="J23" s="146">
        <f>dados_icms!J21</f>
        <v>4581267.5399999982</v>
      </c>
      <c r="K23" s="146">
        <f>dados_icms!K21</f>
        <v>846009604.74000001</v>
      </c>
      <c r="L23" s="146">
        <f>dados_icms!L21</f>
        <v>78305946.809999973</v>
      </c>
      <c r="M23" s="146">
        <f>dados_icms!M21</f>
        <v>33874413.340000004</v>
      </c>
      <c r="N23" s="146">
        <f>dados_icms!N21</f>
        <v>259287481.44</v>
      </c>
      <c r="O23" s="146">
        <f>dados_icms!O21</f>
        <v>29764.16</v>
      </c>
      <c r="P23" s="146">
        <f>dados_icms!P21</f>
        <v>52871.78</v>
      </c>
      <c r="Q23" s="146">
        <f>dados_icms!Q21</f>
        <v>3983371.9699999997</v>
      </c>
      <c r="R23" s="146">
        <f>dados_icms!R21</f>
        <v>4468296.4799999995</v>
      </c>
      <c r="S23" s="146">
        <f>dados_icms!S21</f>
        <v>21701.07</v>
      </c>
      <c r="T23" s="146">
        <f>dados_icms!T21</f>
        <v>185095.62</v>
      </c>
      <c r="U23" s="146">
        <f>dados_icms!U21</f>
        <v>73392.94</v>
      </c>
      <c r="V23" s="146">
        <f>dados_icms!V21</f>
        <v>311743.86</v>
      </c>
      <c r="W23" s="146">
        <f>dados_icms!W21</f>
        <v>1057785.4300000002</v>
      </c>
      <c r="X23" s="152">
        <f>dados_icms!X21</f>
        <v>2686101904.96</v>
      </c>
    </row>
    <row r="24" spans="1:24" x14ac:dyDescent="0.25">
      <c r="A24" s="8" t="str">
        <f>dados_icms!A22</f>
        <v>20187</v>
      </c>
      <c r="B24" s="8">
        <f>dados_icms!B22</f>
        <v>2018</v>
      </c>
      <c r="C24" s="8">
        <f>dados_icms!C22</f>
        <v>7</v>
      </c>
      <c r="D24" s="145">
        <f>dados_icms!D22</f>
        <v>43282</v>
      </c>
      <c r="E24" s="146">
        <f>dados_icms!E22</f>
        <v>814188.2000000003</v>
      </c>
      <c r="F24" s="146">
        <f>dados_icms!F22</f>
        <v>488636750.26000005</v>
      </c>
      <c r="G24" s="146">
        <f>dados_icms!G22</f>
        <v>1031107516.3299999</v>
      </c>
      <c r="H24" s="146">
        <f>dados_icms!H22</f>
        <v>467768632.57000005</v>
      </c>
      <c r="I24" s="146">
        <f>dados_icms!I22</f>
        <v>2076263.5499999996</v>
      </c>
      <c r="J24" s="146">
        <f>dados_icms!J22</f>
        <v>3874552.4600000009</v>
      </c>
      <c r="K24" s="146">
        <f>dados_icms!K22</f>
        <v>960052523.79999995</v>
      </c>
      <c r="L24" s="146">
        <f>dados_icms!L22</f>
        <v>88718288.289999977</v>
      </c>
      <c r="M24" s="146">
        <f>dados_icms!M22</f>
        <v>35544211.490000002</v>
      </c>
      <c r="N24" s="146">
        <f>dados_icms!N22</f>
        <v>263021695.45999998</v>
      </c>
      <c r="O24" s="146">
        <f>dados_icms!O22</f>
        <v>33632.67</v>
      </c>
      <c r="P24" s="146">
        <f>dados_icms!P22</f>
        <v>25944.710000000003</v>
      </c>
      <c r="Q24" s="146">
        <f>dados_icms!Q22</f>
        <v>3684417.4</v>
      </c>
      <c r="R24" s="146">
        <f>dados_icms!R22</f>
        <v>4748269.37</v>
      </c>
      <c r="S24" s="146">
        <f>dados_icms!S22</f>
        <v>83280.89</v>
      </c>
      <c r="T24" s="146">
        <f>dados_icms!T22</f>
        <v>239707.37</v>
      </c>
      <c r="U24" s="146">
        <f>dados_icms!U22</f>
        <v>35195.589999999997</v>
      </c>
      <c r="V24" s="146">
        <f>dados_icms!V22</f>
        <v>245660.24</v>
      </c>
      <c r="W24" s="146">
        <f>dados_icms!W22</f>
        <v>1312046.75</v>
      </c>
      <c r="X24" s="152">
        <f>dados_icms!X22</f>
        <v>3352022777.3999996</v>
      </c>
    </row>
    <row r="25" spans="1:24" x14ac:dyDescent="0.25">
      <c r="A25" s="8" t="str">
        <f>dados_icms!A23</f>
        <v>20188</v>
      </c>
      <c r="B25" s="8">
        <f>dados_icms!B23</f>
        <v>2018</v>
      </c>
      <c r="C25" s="8">
        <f>dados_icms!C23</f>
        <v>8</v>
      </c>
      <c r="D25" s="145">
        <f>dados_icms!D23</f>
        <v>43313</v>
      </c>
      <c r="E25" s="146">
        <f>dados_icms!E23</f>
        <v>1123184.4799999995</v>
      </c>
      <c r="F25" s="146">
        <f>dados_icms!F23</f>
        <v>342009526.51999998</v>
      </c>
      <c r="G25" s="146">
        <f>dados_icms!G23</f>
        <v>981152117.99000013</v>
      </c>
      <c r="H25" s="146">
        <f>dados_icms!H23</f>
        <v>570106054.29999995</v>
      </c>
      <c r="I25" s="146">
        <f>dados_icms!I23</f>
        <v>2639378.25</v>
      </c>
      <c r="J25" s="146">
        <f>dados_icms!J23</f>
        <v>3801633.0200000009</v>
      </c>
      <c r="K25" s="146">
        <f>dados_icms!K23</f>
        <v>875954299.54999983</v>
      </c>
      <c r="L25" s="146">
        <f>dados_icms!L23</f>
        <v>94735240.839999974</v>
      </c>
      <c r="M25" s="146">
        <f>dados_icms!M23</f>
        <v>37085690.420000002</v>
      </c>
      <c r="N25" s="146">
        <f>dados_icms!N23</f>
        <v>262298492.54999998</v>
      </c>
      <c r="O25" s="146">
        <f>dados_icms!O23</f>
        <v>14710.66</v>
      </c>
      <c r="P25" s="146">
        <f>dados_icms!P23</f>
        <v>17793.29</v>
      </c>
      <c r="Q25" s="146">
        <f>dados_icms!Q23</f>
        <v>4748165.1400000006</v>
      </c>
      <c r="R25" s="146">
        <f>dados_icms!R23</f>
        <v>4224712.09</v>
      </c>
      <c r="S25" s="146">
        <f>dados_icms!S23</f>
        <v>15968.49</v>
      </c>
      <c r="T25" s="146">
        <f>dados_icms!T23</f>
        <v>176592.83000000002</v>
      </c>
      <c r="U25" s="146">
        <f>dados_icms!U23</f>
        <v>55644.13</v>
      </c>
      <c r="V25" s="146">
        <f>dados_icms!V23</f>
        <v>390742.58</v>
      </c>
      <c r="W25" s="146">
        <f>dados_icms!W23</f>
        <v>1690071.8</v>
      </c>
      <c r="X25" s="152">
        <f>dados_icms!X23</f>
        <v>3182240018.9300003</v>
      </c>
    </row>
    <row r="26" spans="1:24" x14ac:dyDescent="0.25">
      <c r="A26" s="8" t="str">
        <f>dados_icms!A24</f>
        <v>20189</v>
      </c>
      <c r="B26" s="8">
        <f>dados_icms!B24</f>
        <v>2018</v>
      </c>
      <c r="C26" s="8">
        <f>dados_icms!C24</f>
        <v>9</v>
      </c>
      <c r="D26" s="145">
        <f>dados_icms!D24</f>
        <v>43344</v>
      </c>
      <c r="E26" s="146">
        <f>dados_icms!E24</f>
        <v>781943.03</v>
      </c>
      <c r="F26" s="146">
        <f>dados_icms!F24</f>
        <v>70551139.089999989</v>
      </c>
      <c r="G26" s="146">
        <f>dados_icms!G24</f>
        <v>759140713.38000023</v>
      </c>
      <c r="H26" s="146">
        <f>dados_icms!H24</f>
        <v>671522268.95000005</v>
      </c>
      <c r="I26" s="146">
        <f>dados_icms!I24</f>
        <v>1892170.12</v>
      </c>
      <c r="J26" s="146">
        <f>dados_icms!J24</f>
        <v>3015718.72</v>
      </c>
      <c r="K26" s="146">
        <f>dados_icms!K24</f>
        <v>909566433.60000002</v>
      </c>
      <c r="L26" s="146">
        <f>dados_icms!L24</f>
        <v>103121044.90000002</v>
      </c>
      <c r="M26" s="146">
        <f>dados_icms!M24</f>
        <v>38006332.669999994</v>
      </c>
      <c r="N26" s="146">
        <f>dados_icms!N24</f>
        <v>278282324.13999999</v>
      </c>
      <c r="O26" s="146">
        <f>dados_icms!O24</f>
        <v>30015.069999999992</v>
      </c>
      <c r="P26" s="146">
        <f>dados_icms!P24</f>
        <v>23427.19</v>
      </c>
      <c r="Q26" s="146">
        <f>dados_icms!Q24</f>
        <v>3343652.9900000012</v>
      </c>
      <c r="R26" s="146">
        <f>dados_icms!R24</f>
        <v>4637011.2600000007</v>
      </c>
      <c r="S26" s="146">
        <f>dados_icms!S24</f>
        <v>11394.51</v>
      </c>
      <c r="T26" s="146">
        <f>dados_icms!T24</f>
        <v>331947.41000000003</v>
      </c>
      <c r="U26" s="146">
        <f>dados_icms!U24</f>
        <v>39890.6</v>
      </c>
      <c r="V26" s="146">
        <f>dados_icms!V24</f>
        <v>322630.51999999996</v>
      </c>
      <c r="W26" s="146">
        <f>dados_icms!W24</f>
        <v>2037172.18</v>
      </c>
      <c r="X26" s="152">
        <f>dados_icms!X24</f>
        <v>2846657230.3300004</v>
      </c>
    </row>
    <row r="27" spans="1:24" x14ac:dyDescent="0.25">
      <c r="A27" s="8" t="str">
        <f>dados_icms!A25</f>
        <v>201810</v>
      </c>
      <c r="B27" s="8">
        <f>dados_icms!B25</f>
        <v>2018</v>
      </c>
      <c r="C27" s="8">
        <f>dados_icms!C25</f>
        <v>10</v>
      </c>
      <c r="D27" s="145">
        <f>dados_icms!D25</f>
        <v>43374</v>
      </c>
      <c r="E27" s="146">
        <f>dados_icms!E25</f>
        <v>787585.29000000015</v>
      </c>
      <c r="F27" s="146">
        <f>dados_icms!F25</f>
        <v>92219826.519999996</v>
      </c>
      <c r="G27" s="146">
        <f>dados_icms!G25</f>
        <v>685252498.11999965</v>
      </c>
      <c r="H27" s="146">
        <f>dados_icms!H25</f>
        <v>531838353.17999989</v>
      </c>
      <c r="I27" s="146">
        <f>dados_icms!I25</f>
        <v>2090874.6300000001</v>
      </c>
      <c r="J27" s="146">
        <f>dados_icms!J25</f>
        <v>3105748.060000001</v>
      </c>
      <c r="K27" s="146">
        <f>dados_icms!K25</f>
        <v>885040030.78000021</v>
      </c>
      <c r="L27" s="146">
        <f>dados_icms!L25</f>
        <v>94231817.429999948</v>
      </c>
      <c r="M27" s="146">
        <f>dados_icms!M25</f>
        <v>37284874.399999999</v>
      </c>
      <c r="N27" s="146">
        <f>dados_icms!N25</f>
        <v>298924237.88000005</v>
      </c>
      <c r="O27" s="146">
        <f>dados_icms!O25</f>
        <v>26360.39</v>
      </c>
      <c r="P27" s="146">
        <f>dados_icms!P25</f>
        <v>15968.32</v>
      </c>
      <c r="Q27" s="146">
        <f>dados_icms!Q25</f>
        <v>4005304.3499999996</v>
      </c>
      <c r="R27" s="146">
        <f>dados_icms!R25</f>
        <v>4174908.7600000007</v>
      </c>
      <c r="S27" s="146">
        <f>dados_icms!S25</f>
        <v>9175.380000000001</v>
      </c>
      <c r="T27" s="146">
        <f>dados_icms!T25</f>
        <v>263973.19</v>
      </c>
      <c r="U27" s="146">
        <f>dados_icms!U25</f>
        <v>63713.390000000007</v>
      </c>
      <c r="V27" s="146">
        <f>dados_icms!V25</f>
        <v>350572.98000000004</v>
      </c>
      <c r="W27" s="146">
        <f>dados_icms!W25</f>
        <v>1754546.5499999998</v>
      </c>
      <c r="X27" s="152">
        <f>dados_icms!X25</f>
        <v>2641440369.6000004</v>
      </c>
    </row>
    <row r="28" spans="1:24" x14ac:dyDescent="0.25">
      <c r="A28" s="8" t="str">
        <f>dados_icms!A26</f>
        <v>201811</v>
      </c>
      <c r="B28" s="8">
        <f>dados_icms!B26</f>
        <v>2018</v>
      </c>
      <c r="C28" s="8">
        <f>dados_icms!C26</f>
        <v>11</v>
      </c>
      <c r="D28" s="145">
        <f>dados_icms!D26</f>
        <v>43405</v>
      </c>
      <c r="E28" s="146">
        <f>dados_icms!E26</f>
        <v>383925.5</v>
      </c>
      <c r="F28" s="146">
        <f>dados_icms!F26</f>
        <v>691324731.51999998</v>
      </c>
      <c r="G28" s="146">
        <f>dados_icms!G26</f>
        <v>957679020.25000012</v>
      </c>
      <c r="H28" s="146">
        <f>dados_icms!H26</f>
        <v>511464950.92000002</v>
      </c>
      <c r="I28" s="146">
        <f>dados_icms!I26</f>
        <v>5808362.2000000011</v>
      </c>
      <c r="J28" s="146">
        <f>dados_icms!J26</f>
        <v>8671233.9600000009</v>
      </c>
      <c r="K28" s="146">
        <f>dados_icms!K26</f>
        <v>988925065.70000005</v>
      </c>
      <c r="L28" s="146">
        <f>dados_icms!L26</f>
        <v>92832113.639999986</v>
      </c>
      <c r="M28" s="146">
        <f>dados_icms!M26</f>
        <v>38044764.559999995</v>
      </c>
      <c r="N28" s="146">
        <f>dados_icms!N26</f>
        <v>292744014.89999992</v>
      </c>
      <c r="O28" s="146">
        <f>dados_icms!O26</f>
        <v>51807.11</v>
      </c>
      <c r="P28" s="146">
        <f>dados_icms!P26</f>
        <v>9954.130000000001</v>
      </c>
      <c r="Q28" s="146">
        <f>dados_icms!Q26</f>
        <v>5742443.8399999999</v>
      </c>
      <c r="R28" s="146">
        <f>dados_icms!R26</f>
        <v>5079912.7299999977</v>
      </c>
      <c r="S28" s="146">
        <f>dados_icms!S26</f>
        <v>5621.18</v>
      </c>
      <c r="T28" s="146">
        <f>dados_icms!T26</f>
        <v>183646.01</v>
      </c>
      <c r="U28" s="146">
        <f>dados_icms!U26</f>
        <v>77327.680000000008</v>
      </c>
      <c r="V28" s="146">
        <f>dados_icms!V26</f>
        <v>350749.63999999996</v>
      </c>
      <c r="W28" s="146">
        <f>dados_icms!W26</f>
        <v>1349060.4699999997</v>
      </c>
      <c r="X28" s="152">
        <f>dados_icms!X26</f>
        <v>3600728705.9400001</v>
      </c>
    </row>
    <row r="29" spans="1:24" x14ac:dyDescent="0.25">
      <c r="A29" s="8" t="str">
        <f>dados_icms!A27</f>
        <v>201812</v>
      </c>
      <c r="B29" s="8">
        <f>dados_icms!B27</f>
        <v>2018</v>
      </c>
      <c r="C29" s="8">
        <f>dados_icms!C27</f>
        <v>12</v>
      </c>
      <c r="D29" s="145">
        <f>dados_icms!D27</f>
        <v>43435</v>
      </c>
      <c r="E29" s="146">
        <f>dados_icms!E27</f>
        <v>836683.28000000026</v>
      </c>
      <c r="F29" s="146">
        <f>dados_icms!F27</f>
        <v>73060611.25999999</v>
      </c>
      <c r="G29" s="146">
        <f>dados_icms!G27</f>
        <v>886220952.75</v>
      </c>
      <c r="H29" s="146">
        <f>dados_icms!H27</f>
        <v>415953118.75</v>
      </c>
      <c r="I29" s="146">
        <f>dados_icms!I27</f>
        <v>2238551.29</v>
      </c>
      <c r="J29" s="146">
        <f>dados_icms!J27</f>
        <v>4373426.5600000015</v>
      </c>
      <c r="K29" s="146">
        <f>dados_icms!K27</f>
        <v>974092464.67999983</v>
      </c>
      <c r="L29" s="146">
        <f>dados_icms!L27</f>
        <v>90610145.350000039</v>
      </c>
      <c r="M29" s="146">
        <f>dados_icms!M27</f>
        <v>38091625.07</v>
      </c>
      <c r="N29" s="146">
        <f>dados_icms!N27</f>
        <v>258778673.40999997</v>
      </c>
      <c r="O29" s="146">
        <f>dados_icms!O27</f>
        <v>121471.31999999999</v>
      </c>
      <c r="P29" s="146">
        <f>dados_icms!P27</f>
        <v>12645.340000000002</v>
      </c>
      <c r="Q29" s="146">
        <f>dados_icms!Q27</f>
        <v>3639349.3200000003</v>
      </c>
      <c r="R29" s="146">
        <f>dados_icms!R27</f>
        <v>4096046.5599999991</v>
      </c>
      <c r="S29" s="146">
        <f>dados_icms!S27</f>
        <v>10783.25</v>
      </c>
      <c r="T29" s="146">
        <f>dados_icms!T27</f>
        <v>157808.15000000002</v>
      </c>
      <c r="U29" s="146">
        <f>dados_icms!U27</f>
        <v>53878.28</v>
      </c>
      <c r="V29" s="146">
        <f>dados_icms!V27</f>
        <v>633256.18000000005</v>
      </c>
      <c r="W29" s="146">
        <f>dados_icms!W27</f>
        <v>2264908.7800000003</v>
      </c>
      <c r="X29" s="152">
        <f>dados_icms!X27</f>
        <v>2755246399.5800004</v>
      </c>
    </row>
    <row r="30" spans="1:24" x14ac:dyDescent="0.25">
      <c r="A30" s="8" t="str">
        <f>dados_icms!A28</f>
        <v>20191</v>
      </c>
      <c r="B30" s="8">
        <f>dados_icms!B28</f>
        <v>2019</v>
      </c>
      <c r="C30" s="8">
        <f>dados_icms!C28</f>
        <v>1</v>
      </c>
      <c r="D30" s="145">
        <f>dados_icms!D28</f>
        <v>43466</v>
      </c>
      <c r="E30" s="146">
        <f>dados_icms!E28</f>
        <v>567973.38</v>
      </c>
      <c r="F30" s="146">
        <f>dados_icms!F28</f>
        <v>281940222.20999992</v>
      </c>
      <c r="G30" s="146">
        <f>dados_icms!G28</f>
        <v>1108863331.0699995</v>
      </c>
      <c r="H30" s="146">
        <f>dados_icms!H28</f>
        <v>542715345.26999998</v>
      </c>
      <c r="I30" s="146">
        <f>dados_icms!I28</f>
        <v>2267912.4799999995</v>
      </c>
      <c r="J30" s="146">
        <f>dados_icms!J28</f>
        <v>4150164.21</v>
      </c>
      <c r="K30" s="146">
        <f>dados_icms!K28</f>
        <v>1090230250.26</v>
      </c>
      <c r="L30" s="146">
        <f>dados_icms!L28</f>
        <v>87102725.600000009</v>
      </c>
      <c r="M30" s="146">
        <f>dados_icms!M28</f>
        <v>41585221.100000001</v>
      </c>
      <c r="N30" s="146">
        <f>dados_icms!N28</f>
        <v>303152408.2700001</v>
      </c>
      <c r="O30" s="146">
        <f>dados_icms!O28</f>
        <v>100094.74</v>
      </c>
      <c r="P30" s="146">
        <f>dados_icms!P28</f>
        <v>28346.21</v>
      </c>
      <c r="Q30" s="146">
        <f>dados_icms!Q28</f>
        <v>8882722.8099999987</v>
      </c>
      <c r="R30" s="146">
        <f>dados_icms!R28</f>
        <v>5710490.1400000006</v>
      </c>
      <c r="S30" s="146">
        <f>dados_icms!S28</f>
        <v>870541.70000000007</v>
      </c>
      <c r="T30" s="146">
        <f>dados_icms!T28</f>
        <v>273180.28000000003</v>
      </c>
      <c r="U30" s="146">
        <f>dados_icms!U28</f>
        <v>56730.01</v>
      </c>
      <c r="V30" s="146">
        <f>dados_icms!V28</f>
        <v>405833.51000000007</v>
      </c>
      <c r="W30" s="146">
        <f>dados_icms!W28</f>
        <v>1139923.17</v>
      </c>
      <c r="X30" s="152">
        <f>dados_icms!X28</f>
        <v>3480043416.4199991</v>
      </c>
    </row>
    <row r="31" spans="1:24" x14ac:dyDescent="0.25">
      <c r="A31" s="8" t="str">
        <f>dados_icms!A29</f>
        <v>20192</v>
      </c>
      <c r="B31" s="8">
        <f>dados_icms!B29</f>
        <v>2019</v>
      </c>
      <c r="C31" s="8">
        <f>dados_icms!C29</f>
        <v>2</v>
      </c>
      <c r="D31" s="145">
        <f>dados_icms!D29</f>
        <v>43497</v>
      </c>
      <c r="E31" s="146">
        <f>dados_icms!E29</f>
        <v>448658.47000000009</v>
      </c>
      <c r="F31" s="146">
        <f>dados_icms!F29</f>
        <v>60169765.410000011</v>
      </c>
      <c r="G31" s="146">
        <f>dados_icms!G29</f>
        <v>802813823.27000105</v>
      </c>
      <c r="H31" s="146">
        <f>dados_icms!H29</f>
        <v>830185210.2299999</v>
      </c>
      <c r="I31" s="146">
        <f>dados_icms!I29</f>
        <v>2104548.5099999998</v>
      </c>
      <c r="J31" s="146">
        <f>dados_icms!J29</f>
        <v>3151368.31</v>
      </c>
      <c r="K31" s="146">
        <f>dados_icms!K29</f>
        <v>946336530.20000017</v>
      </c>
      <c r="L31" s="146">
        <f>dados_icms!L29</f>
        <v>90147196.449999973</v>
      </c>
      <c r="M31" s="146">
        <f>dados_icms!M29</f>
        <v>40135560.020000003</v>
      </c>
      <c r="N31" s="146">
        <f>dados_icms!N29</f>
        <v>307740329.69999993</v>
      </c>
      <c r="O31" s="146">
        <f>dados_icms!O29</f>
        <v>62670.76</v>
      </c>
      <c r="P31" s="146">
        <f>dados_icms!P29</f>
        <v>20703.129999999997</v>
      </c>
      <c r="Q31" s="146">
        <f>dados_icms!Q29</f>
        <v>5337893.8999999985</v>
      </c>
      <c r="R31" s="146">
        <f>dados_icms!R29</f>
        <v>5070546.5100000007</v>
      </c>
      <c r="S31" s="146">
        <f>dados_icms!S29</f>
        <v>4380.2700000000004</v>
      </c>
      <c r="T31" s="146">
        <f>dados_icms!T29</f>
        <v>285093.54000000004</v>
      </c>
      <c r="U31" s="146">
        <f>dados_icms!U29</f>
        <v>59302.39</v>
      </c>
      <c r="V31" s="146">
        <f>dados_icms!V29</f>
        <v>447152.74</v>
      </c>
      <c r="W31" s="146">
        <f>dados_icms!W29</f>
        <v>1473170.8499999996</v>
      </c>
      <c r="X31" s="152">
        <f>dados_icms!X29</f>
        <v>3095993904.6600008</v>
      </c>
    </row>
    <row r="32" spans="1:24" x14ac:dyDescent="0.25">
      <c r="A32" s="8" t="str">
        <f>dados_icms!A30</f>
        <v>20193</v>
      </c>
      <c r="B32" s="8">
        <f>dados_icms!B30</f>
        <v>2019</v>
      </c>
      <c r="C32" s="8">
        <f>dados_icms!C30</f>
        <v>3</v>
      </c>
      <c r="D32" s="145">
        <f>dados_icms!D30</f>
        <v>43525</v>
      </c>
      <c r="E32" s="146">
        <f>dados_icms!E30</f>
        <v>688891.52999999991</v>
      </c>
      <c r="F32" s="146">
        <f>dados_icms!F30</f>
        <v>51042570.050000004</v>
      </c>
      <c r="G32" s="146">
        <f>dados_icms!G30</f>
        <v>821500618.44000041</v>
      </c>
      <c r="H32" s="146">
        <f>dados_icms!H30</f>
        <v>481188287.54000002</v>
      </c>
      <c r="I32" s="146">
        <f>dados_icms!I30</f>
        <v>1961045.98</v>
      </c>
      <c r="J32" s="146">
        <f>dados_icms!J30</f>
        <v>4361999.5200000014</v>
      </c>
      <c r="K32" s="146">
        <f>dados_icms!K30</f>
        <v>902754224.79999995</v>
      </c>
      <c r="L32" s="146">
        <f>dados_icms!L30</f>
        <v>88841989.079999983</v>
      </c>
      <c r="M32" s="146">
        <f>dados_icms!M30</f>
        <v>35308296.839999996</v>
      </c>
      <c r="N32" s="146">
        <f>dados_icms!N30</f>
        <v>275064376.91999996</v>
      </c>
      <c r="O32" s="146">
        <f>dados_icms!O30</f>
        <v>64887.590000000004</v>
      </c>
      <c r="P32" s="146">
        <f>dados_icms!P30</f>
        <v>4096.9400000000005</v>
      </c>
      <c r="Q32" s="146">
        <f>dados_icms!Q30</f>
        <v>4565102.4499999993</v>
      </c>
      <c r="R32" s="146">
        <f>dados_icms!R30</f>
        <v>4432464.7899999991</v>
      </c>
      <c r="S32" s="146">
        <f>dados_icms!S30</f>
        <v>6512.44</v>
      </c>
      <c r="T32" s="146">
        <f>dados_icms!T30</f>
        <v>330624.8</v>
      </c>
      <c r="U32" s="146">
        <f>dados_icms!U30</f>
        <v>101592.61</v>
      </c>
      <c r="V32" s="146">
        <f>dados_icms!V30</f>
        <v>340807.98000000004</v>
      </c>
      <c r="W32" s="146">
        <f>dados_icms!W30</f>
        <v>2090099.6700000006</v>
      </c>
      <c r="X32" s="152">
        <f>dados_icms!X30</f>
        <v>2674648489.9700012</v>
      </c>
    </row>
    <row r="33" spans="1:24" x14ac:dyDescent="0.25">
      <c r="A33" s="8" t="str">
        <f>dados_icms!A31</f>
        <v>20194</v>
      </c>
      <c r="B33" s="8">
        <f>dados_icms!B31</f>
        <v>2019</v>
      </c>
      <c r="C33" s="8">
        <f>dados_icms!C31</f>
        <v>4</v>
      </c>
      <c r="D33" s="145">
        <f>dados_icms!D31</f>
        <v>43556</v>
      </c>
      <c r="E33" s="146">
        <f>dados_icms!E31</f>
        <v>788823.85000000009</v>
      </c>
      <c r="F33" s="146">
        <f>dados_icms!F31</f>
        <v>57892946.589999981</v>
      </c>
      <c r="G33" s="146">
        <f>dados_icms!G31</f>
        <v>988409707.72999978</v>
      </c>
      <c r="H33" s="146">
        <f>dados_icms!H31</f>
        <v>682573344.94000006</v>
      </c>
      <c r="I33" s="146">
        <f>dados_icms!I31</f>
        <v>2291174.6100000003</v>
      </c>
      <c r="J33" s="146">
        <f>dados_icms!J31</f>
        <v>4694181.4300000006</v>
      </c>
      <c r="K33" s="146">
        <f>dados_icms!K31</f>
        <v>949944941.24999964</v>
      </c>
      <c r="L33" s="146">
        <f>dados_icms!L31</f>
        <v>95611607.340000004</v>
      </c>
      <c r="M33" s="146">
        <f>dados_icms!M31</f>
        <v>39256316.54999999</v>
      </c>
      <c r="N33" s="146">
        <f>dados_icms!N31</f>
        <v>265196661.80000001</v>
      </c>
      <c r="O33" s="146">
        <f>dados_icms!O31</f>
        <v>44399.22</v>
      </c>
      <c r="P33" s="146">
        <f>dados_icms!P31</f>
        <v>23685.09</v>
      </c>
      <c r="Q33" s="146">
        <f>dados_icms!Q31</f>
        <v>4482113.7699999996</v>
      </c>
      <c r="R33" s="146">
        <f>dados_icms!R31</f>
        <v>4932894.83</v>
      </c>
      <c r="S33" s="146">
        <f>dados_icms!S31</f>
        <v>11745.93</v>
      </c>
      <c r="T33" s="146">
        <f>dados_icms!T31</f>
        <v>187571.97</v>
      </c>
      <c r="U33" s="146">
        <f>dados_icms!U31</f>
        <v>81022.660000000018</v>
      </c>
      <c r="V33" s="146">
        <f>dados_icms!V31</f>
        <v>490429.76</v>
      </c>
      <c r="W33" s="146">
        <f>dados_icms!W31</f>
        <v>1604730.4299999997</v>
      </c>
      <c r="X33" s="152">
        <f>dados_icms!X31</f>
        <v>3098518299.749999</v>
      </c>
    </row>
    <row r="34" spans="1:24" x14ac:dyDescent="0.25">
      <c r="A34" s="8" t="str">
        <f>dados_icms!A32</f>
        <v>20195</v>
      </c>
      <c r="B34" s="8">
        <f>dados_icms!B32</f>
        <v>2019</v>
      </c>
      <c r="C34" s="8">
        <f>dados_icms!C32</f>
        <v>5</v>
      </c>
      <c r="D34" s="145">
        <f>dados_icms!D32</f>
        <v>43586</v>
      </c>
      <c r="E34" s="146">
        <f>dados_icms!E32</f>
        <v>972561.8899999999</v>
      </c>
      <c r="F34" s="146">
        <f>dados_icms!F32</f>
        <v>124093295.36999999</v>
      </c>
      <c r="G34" s="146">
        <f>dados_icms!G32</f>
        <v>812514679.25000167</v>
      </c>
      <c r="H34" s="146">
        <f>dados_icms!H32</f>
        <v>572341502.1500001</v>
      </c>
      <c r="I34" s="146">
        <f>dados_icms!I32</f>
        <v>3019454.2600000002</v>
      </c>
      <c r="J34" s="146">
        <f>dados_icms!J32</f>
        <v>3547187.3000000003</v>
      </c>
      <c r="K34" s="146">
        <f>dados_icms!K32</f>
        <v>943024525.84999967</v>
      </c>
      <c r="L34" s="146">
        <f>dados_icms!L32</f>
        <v>89647833.179999962</v>
      </c>
      <c r="M34" s="146">
        <f>dados_icms!M32</f>
        <v>37561207.559999995</v>
      </c>
      <c r="N34" s="146">
        <f>dados_icms!N32</f>
        <v>261856691.04000002</v>
      </c>
      <c r="O34" s="146">
        <f>dados_icms!O32</f>
        <v>54595.719999999987</v>
      </c>
      <c r="P34" s="146">
        <f>dados_icms!P32</f>
        <v>6115.34</v>
      </c>
      <c r="Q34" s="146">
        <f>dados_icms!Q32</f>
        <v>4404319.9899999984</v>
      </c>
      <c r="R34" s="146">
        <f>dados_icms!R32</f>
        <v>4439755.96</v>
      </c>
      <c r="S34" s="146">
        <f>dados_icms!S32</f>
        <v>2997</v>
      </c>
      <c r="T34" s="146">
        <f>dados_icms!T32</f>
        <v>207145.62999999998</v>
      </c>
      <c r="U34" s="146">
        <f>dados_icms!U32</f>
        <v>72208.69</v>
      </c>
      <c r="V34" s="146">
        <f>dados_icms!V32</f>
        <v>358509.21</v>
      </c>
      <c r="W34" s="146">
        <f>dados_icms!W32</f>
        <v>1334145.5399999991</v>
      </c>
      <c r="X34" s="152">
        <f>dados_icms!X32</f>
        <v>2859458730.9300013</v>
      </c>
    </row>
    <row r="35" spans="1:24" x14ac:dyDescent="0.25">
      <c r="A35" s="8" t="str">
        <f>dados_icms!A33</f>
        <v>20196</v>
      </c>
      <c r="B35" s="8">
        <f>dados_icms!B33</f>
        <v>2019</v>
      </c>
      <c r="C35" s="8">
        <f>dados_icms!C33</f>
        <v>6</v>
      </c>
      <c r="D35" s="145">
        <f>dados_icms!D33</f>
        <v>43617</v>
      </c>
      <c r="E35" s="146">
        <f>dados_icms!E33</f>
        <v>863106.71999999986</v>
      </c>
      <c r="F35" s="146">
        <f>dados_icms!F33</f>
        <v>53132122.259999998</v>
      </c>
      <c r="G35" s="146">
        <f>dados_icms!G33</f>
        <v>858051060.98000085</v>
      </c>
      <c r="H35" s="146">
        <f>dados_icms!H33</f>
        <v>411401043.84999996</v>
      </c>
      <c r="I35" s="146">
        <f>dados_icms!I33</f>
        <v>2836683.8699999996</v>
      </c>
      <c r="J35" s="146">
        <f>dados_icms!J33</f>
        <v>3752402.8300000015</v>
      </c>
      <c r="K35" s="146">
        <f>dados_icms!K33</f>
        <v>879021369.55000031</v>
      </c>
      <c r="L35" s="146">
        <f>dados_icms!L33</f>
        <v>91037362.300000027</v>
      </c>
      <c r="M35" s="146">
        <f>dados_icms!M33</f>
        <v>38031225.109999999</v>
      </c>
      <c r="N35" s="146">
        <f>dados_icms!N33</f>
        <v>252030016.14000002</v>
      </c>
      <c r="O35" s="146">
        <f>dados_icms!O33</f>
        <v>70076.87000000001</v>
      </c>
      <c r="P35" s="146">
        <f>dados_icms!P33</f>
        <v>7471.9</v>
      </c>
      <c r="Q35" s="146">
        <f>dados_icms!Q33</f>
        <v>4058201.76</v>
      </c>
      <c r="R35" s="146">
        <f>dados_icms!R33</f>
        <v>5140073.22</v>
      </c>
      <c r="S35" s="146">
        <f>dados_icms!S33</f>
        <v>1597.18</v>
      </c>
      <c r="T35" s="146">
        <f>dados_icms!T33</f>
        <v>252050.88</v>
      </c>
      <c r="U35" s="146">
        <f>dados_icms!U33</f>
        <v>86012.930000000022</v>
      </c>
      <c r="V35" s="146">
        <f>dados_icms!V33</f>
        <v>366186.14</v>
      </c>
      <c r="W35" s="146">
        <f>dados_icms!W33</f>
        <v>1374490.4700000002</v>
      </c>
      <c r="X35" s="152">
        <f>dados_icms!X33</f>
        <v>2601512554.9600005</v>
      </c>
    </row>
    <row r="36" spans="1:24" x14ac:dyDescent="0.25">
      <c r="A36" s="8" t="str">
        <f>dados_icms!A34</f>
        <v>20197</v>
      </c>
      <c r="B36" s="8">
        <f>dados_icms!B34</f>
        <v>2019</v>
      </c>
      <c r="C36" s="8">
        <f>dados_icms!C34</f>
        <v>7</v>
      </c>
      <c r="D36" s="145">
        <f>dados_icms!D34</f>
        <v>43647</v>
      </c>
      <c r="E36" s="146">
        <f>dados_icms!E34</f>
        <v>804637.58000000007</v>
      </c>
      <c r="F36" s="146">
        <f>dados_icms!F34</f>
        <v>73723239.709999993</v>
      </c>
      <c r="G36" s="146">
        <f>dados_icms!G34</f>
        <v>727686646.00000048</v>
      </c>
      <c r="H36" s="146">
        <f>dados_icms!H34</f>
        <v>532939750.57999992</v>
      </c>
      <c r="I36" s="146">
        <f>dados_icms!I34</f>
        <v>2596481.29</v>
      </c>
      <c r="J36" s="146">
        <f>dados_icms!J34</f>
        <v>3978199.899999999</v>
      </c>
      <c r="K36" s="146">
        <f>dados_icms!K34</f>
        <v>891689763.46000028</v>
      </c>
      <c r="L36" s="146">
        <f>dados_icms!L34</f>
        <v>86975780.270000011</v>
      </c>
      <c r="M36" s="146">
        <f>dados_icms!M34</f>
        <v>36835597.590000004</v>
      </c>
      <c r="N36" s="146">
        <f>dados_icms!N34</f>
        <v>250324415.94</v>
      </c>
      <c r="O36" s="146">
        <f>dados_icms!O34</f>
        <v>73987.460000000021</v>
      </c>
      <c r="P36" s="146">
        <f>dados_icms!P34</f>
        <v>8332.86</v>
      </c>
      <c r="Q36" s="146">
        <f>dados_icms!Q34</f>
        <v>5705237.0899999999</v>
      </c>
      <c r="R36" s="146">
        <f>dados_icms!R34</f>
        <v>4293739.72</v>
      </c>
      <c r="S36" s="146">
        <f>dados_icms!S34</f>
        <v>747.62</v>
      </c>
      <c r="T36" s="146">
        <f>dados_icms!T34</f>
        <v>177533.35000000003</v>
      </c>
      <c r="U36" s="146">
        <f>dados_icms!U34</f>
        <v>121672.09999999999</v>
      </c>
      <c r="V36" s="146">
        <f>dados_icms!V34</f>
        <v>359165.09</v>
      </c>
      <c r="W36" s="146">
        <f>dados_icms!W34</f>
        <v>1339888.77</v>
      </c>
      <c r="X36" s="152">
        <f>dados_icms!X34</f>
        <v>2619634816.3800006</v>
      </c>
    </row>
    <row r="37" spans="1:24" x14ac:dyDescent="0.25">
      <c r="A37" s="8"/>
      <c r="B37" s="8"/>
      <c r="C37" s="8"/>
      <c r="D37" s="145">
        <f>dados_icms!D35</f>
        <v>43678</v>
      </c>
      <c r="E37" s="146">
        <f>dados_icms!E35</f>
        <v>824313.67999999982</v>
      </c>
      <c r="F37" s="146">
        <f>dados_icms!F35</f>
        <v>121409005.42</v>
      </c>
      <c r="G37" s="146">
        <f>dados_icms!G35</f>
        <v>917213286.40000033</v>
      </c>
      <c r="H37" s="146">
        <f>dados_icms!H35</f>
        <v>382626822.21999991</v>
      </c>
      <c r="I37" s="146">
        <f>dados_icms!I35</f>
        <v>2502442.6999999997</v>
      </c>
      <c r="J37" s="146">
        <f>dados_icms!J35</f>
        <v>4909502.71</v>
      </c>
      <c r="K37" s="146">
        <f>dados_icms!K35</f>
        <v>955897810.63000023</v>
      </c>
      <c r="L37" s="146">
        <f>dados_icms!L35</f>
        <v>107220010.99000002</v>
      </c>
      <c r="M37" s="146">
        <f>dados_icms!M35</f>
        <v>37148702.700000003</v>
      </c>
      <c r="N37" s="146">
        <f>dados_icms!N35</f>
        <v>264540464.00000003</v>
      </c>
      <c r="O37" s="146">
        <f>dados_icms!O35</f>
        <v>43307.15</v>
      </c>
      <c r="P37" s="146">
        <f>dados_icms!P35</f>
        <v>4591.29</v>
      </c>
      <c r="Q37" s="146">
        <f>dados_icms!Q35</f>
        <v>6291403.9699999969</v>
      </c>
      <c r="R37" s="146">
        <f>dados_icms!R35</f>
        <v>7287995.2099999972</v>
      </c>
      <c r="S37" s="146">
        <f>dados_icms!S35</f>
        <v>309262.67999999993</v>
      </c>
      <c r="T37" s="146">
        <f>dados_icms!T35</f>
        <v>207411.04</v>
      </c>
      <c r="U37" s="146">
        <f>dados_icms!U35</f>
        <v>99310.040000000008</v>
      </c>
      <c r="V37" s="146">
        <f>dados_icms!V35</f>
        <v>457476.5199999999</v>
      </c>
      <c r="W37" s="146">
        <f>dados_icms!W35</f>
        <v>1278539.4700000002</v>
      </c>
      <c r="X37" s="152">
        <f>dados_icms!X35</f>
        <v>2810271658.8200002</v>
      </c>
    </row>
    <row r="38" spans="1:24" x14ac:dyDescent="0.25">
      <c r="A38" s="8"/>
      <c r="B38" s="8"/>
      <c r="C38" s="8"/>
      <c r="D38" s="145">
        <f>dados_icms!D36</f>
        <v>43709</v>
      </c>
      <c r="E38" s="146">
        <f>dados_icms!E36</f>
        <v>350435.95999999996</v>
      </c>
      <c r="F38" s="146">
        <f>dados_icms!F36</f>
        <v>72785019.189999983</v>
      </c>
      <c r="G38" s="146">
        <f>dados_icms!G36</f>
        <v>913253729.25000024</v>
      </c>
      <c r="H38" s="146">
        <f>dados_icms!H36</f>
        <v>437347717.78999996</v>
      </c>
      <c r="I38" s="146">
        <f>dados_icms!I36</f>
        <v>2903961.25</v>
      </c>
      <c r="J38" s="146">
        <f>dados_icms!J36</f>
        <v>4294656.6799999988</v>
      </c>
      <c r="K38" s="146">
        <f>dados_icms!K36</f>
        <v>937484299.07999992</v>
      </c>
      <c r="L38" s="146">
        <f>dados_icms!L36</f>
        <v>322110493.4799999</v>
      </c>
      <c r="M38" s="146">
        <f>dados_icms!M36</f>
        <v>36614841.530000001</v>
      </c>
      <c r="N38" s="146">
        <f>dados_icms!N36</f>
        <v>248019060.72999999</v>
      </c>
      <c r="O38" s="146">
        <f>dados_icms!O36</f>
        <v>388779.75</v>
      </c>
      <c r="P38" s="146">
        <f>dados_icms!P36</f>
        <v>19538.38</v>
      </c>
      <c r="Q38" s="146">
        <f>dados_icms!Q36</f>
        <v>5140960.5900000017</v>
      </c>
      <c r="R38" s="146">
        <f>dados_icms!R36</f>
        <v>4939660.47</v>
      </c>
      <c r="S38" s="146">
        <f>dados_icms!S36</f>
        <v>1519.4399999999998</v>
      </c>
      <c r="T38" s="146">
        <f>dados_icms!T36</f>
        <v>231075.83999999997</v>
      </c>
      <c r="U38" s="146">
        <f>dados_icms!U36</f>
        <v>83265.62999999999</v>
      </c>
      <c r="V38" s="146">
        <f>dados_icms!V36</f>
        <v>365514.69</v>
      </c>
      <c r="W38" s="146">
        <f>dados_icms!W36</f>
        <v>1463589.8100000003</v>
      </c>
      <c r="X38" s="152">
        <f>dados_icms!X36</f>
        <v>2987798119.5400004</v>
      </c>
    </row>
    <row r="39" spans="1:24" x14ac:dyDescent="0.25">
      <c r="A39" s="8"/>
      <c r="B39" s="8"/>
      <c r="C39" s="8"/>
      <c r="D39" s="145">
        <f>dados_icms!D37</f>
        <v>43739</v>
      </c>
      <c r="E39" s="146">
        <f>dados_icms!E37</f>
        <v>260808.40999999992</v>
      </c>
      <c r="F39" s="146">
        <f>dados_icms!F37</f>
        <v>86853425.050000012</v>
      </c>
      <c r="G39" s="146">
        <f>dados_icms!G37</f>
        <v>982106558.99000001</v>
      </c>
      <c r="H39" s="146">
        <f>dados_icms!H37</f>
        <v>608915623.09000003</v>
      </c>
      <c r="I39" s="146">
        <f>dados_icms!I37</f>
        <v>4680974.95</v>
      </c>
      <c r="J39" s="146">
        <f>dados_icms!J37</f>
        <v>5166772.1900000004</v>
      </c>
      <c r="K39" s="146">
        <f>dados_icms!K37</f>
        <v>887085586.31000066</v>
      </c>
      <c r="L39" s="146">
        <f>dados_icms!L37</f>
        <v>101349107.65000002</v>
      </c>
      <c r="M39" s="146">
        <f>dados_icms!M37</f>
        <v>36822732.799999997</v>
      </c>
      <c r="N39" s="146">
        <f>dados_icms!N37</f>
        <v>268997541.88999999</v>
      </c>
      <c r="O39" s="146">
        <f>dados_icms!O37</f>
        <v>80655.549999999974</v>
      </c>
      <c r="P39" s="146">
        <f>dados_icms!P37</f>
        <v>33817.15</v>
      </c>
      <c r="Q39" s="146">
        <f>dados_icms!Q37</f>
        <v>11185710.199999999</v>
      </c>
      <c r="R39" s="146">
        <f>dados_icms!R37</f>
        <v>4453967.7299999986</v>
      </c>
      <c r="S39" s="146">
        <f>dados_icms!S37</f>
        <v>77660.310000000012</v>
      </c>
      <c r="T39" s="146">
        <f>dados_icms!T37</f>
        <v>180227.58999999997</v>
      </c>
      <c r="U39" s="146">
        <f>dados_icms!U37</f>
        <v>145145.18999999997</v>
      </c>
      <c r="V39" s="146">
        <f>dados_icms!V37</f>
        <v>650938.34000000008</v>
      </c>
      <c r="W39" s="146">
        <f>dados_icms!W37</f>
        <v>1516338.5499999996</v>
      </c>
      <c r="X39" s="152">
        <f>dados_icms!X37</f>
        <v>3000563591.9400015</v>
      </c>
    </row>
    <row r="40" spans="1:24" x14ac:dyDescent="0.25">
      <c r="A40" s="8"/>
      <c r="B40" s="8"/>
      <c r="C40" s="8"/>
      <c r="D40" s="145">
        <f>dados_icms!D38</f>
        <v>43770</v>
      </c>
      <c r="E40" s="146">
        <f>dados_icms!E38</f>
        <v>441361.66000000003</v>
      </c>
      <c r="F40" s="146">
        <f>dados_icms!F38</f>
        <v>67828095.950000003</v>
      </c>
      <c r="G40" s="146">
        <f>dados_icms!G38</f>
        <v>875622641.98999918</v>
      </c>
      <c r="H40" s="146">
        <f>dados_icms!H38</f>
        <v>579469288.84000015</v>
      </c>
      <c r="I40" s="146">
        <f>dados_icms!I38</f>
        <v>2557132.0499999998</v>
      </c>
      <c r="J40" s="146">
        <f>dados_icms!J38</f>
        <v>6238004.7799999984</v>
      </c>
      <c r="K40" s="146">
        <f>dados_icms!K38</f>
        <v>1023286860.1600001</v>
      </c>
      <c r="L40" s="146">
        <f>dados_icms!L38</f>
        <v>103610963.71000001</v>
      </c>
      <c r="M40" s="146">
        <f>dados_icms!M38</f>
        <v>38191890.179999992</v>
      </c>
      <c r="N40" s="146">
        <f>dados_icms!N38</f>
        <v>279672070.62</v>
      </c>
      <c r="O40" s="146">
        <f>dados_icms!O38</f>
        <v>339003.36999999994</v>
      </c>
      <c r="P40" s="146">
        <f>dados_icms!P38</f>
        <v>15222.9</v>
      </c>
      <c r="Q40" s="146">
        <f>dados_icms!Q38</f>
        <v>7066910.3300000019</v>
      </c>
      <c r="R40" s="146">
        <f>dados_icms!R38</f>
        <v>6038410.7599999979</v>
      </c>
      <c r="S40" s="146">
        <f>dados_icms!S38</f>
        <v>582.66</v>
      </c>
      <c r="T40" s="146">
        <f>dados_icms!T38</f>
        <v>176485.08999999997</v>
      </c>
      <c r="U40" s="146">
        <f>dados_icms!U38</f>
        <v>116035.09000000004</v>
      </c>
      <c r="V40" s="146">
        <f>dados_icms!V38</f>
        <v>494903.85000000003</v>
      </c>
      <c r="W40" s="146">
        <f>dados_icms!W38</f>
        <v>1584563.4800000002</v>
      </c>
      <c r="X40" s="152">
        <f>dados_icms!X38</f>
        <v>2992750427.4699993</v>
      </c>
    </row>
    <row r="41" spans="1:24" x14ac:dyDescent="0.25">
      <c r="A41" s="8"/>
      <c r="B41" s="8"/>
      <c r="C41" s="8"/>
      <c r="D41" s="145">
        <f>dados_icms!D39</f>
        <v>43800</v>
      </c>
      <c r="E41" s="146">
        <f>dados_icms!E39</f>
        <v>287223.93</v>
      </c>
      <c r="F41" s="146">
        <f>dados_icms!F39</f>
        <v>233175129.2700001</v>
      </c>
      <c r="G41" s="146">
        <f>dados_icms!G39</f>
        <v>966624588.20000029</v>
      </c>
      <c r="H41" s="146">
        <f>dados_icms!H39</f>
        <v>617879552.51999986</v>
      </c>
      <c r="I41" s="146">
        <f>dados_icms!I39</f>
        <v>2923410.3800000004</v>
      </c>
      <c r="J41" s="146">
        <f>dados_icms!J39</f>
        <v>4002905.1899999995</v>
      </c>
      <c r="K41" s="146">
        <f>dados_icms!K39</f>
        <v>1086570005.5700004</v>
      </c>
      <c r="L41" s="146">
        <f>dados_icms!L39</f>
        <v>94134017.430000022</v>
      </c>
      <c r="M41" s="146">
        <f>dados_icms!M39</f>
        <v>38203659.230000004</v>
      </c>
      <c r="N41" s="146">
        <f>dados_icms!N39</f>
        <v>269889082.86999995</v>
      </c>
      <c r="O41" s="146">
        <f>dados_icms!O39</f>
        <v>68549.709999999992</v>
      </c>
      <c r="P41" s="146">
        <f>dados_icms!P39</f>
        <v>30159.399999999998</v>
      </c>
      <c r="Q41" s="146">
        <f>dados_icms!Q39</f>
        <v>8768120.9499999993</v>
      </c>
      <c r="R41" s="146">
        <f>dados_icms!R39</f>
        <v>5458173.9899999993</v>
      </c>
      <c r="S41" s="146">
        <f>dados_icms!S39</f>
        <v>615.34</v>
      </c>
      <c r="T41" s="146">
        <f>dados_icms!T39</f>
        <v>217380.25999999998</v>
      </c>
      <c r="U41" s="146">
        <f>dados_icms!U39</f>
        <v>91477.959999999992</v>
      </c>
      <c r="V41" s="146">
        <f>dados_icms!V39</f>
        <v>446819.59</v>
      </c>
      <c r="W41" s="146">
        <f>dados_icms!W39</f>
        <v>1526089.3499999999</v>
      </c>
      <c r="X41" s="152">
        <f>dados_icms!X39</f>
        <v>3330296961.1400003</v>
      </c>
    </row>
    <row r="42" spans="1:24" ht="15.75" thickBot="1" x14ac:dyDescent="0.3">
      <c r="A42" s="8"/>
      <c r="B42" s="8"/>
      <c r="C42" s="8"/>
      <c r="D42" s="147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53"/>
    </row>
    <row r="43" spans="1:24" x14ac:dyDescent="0.25">
      <c r="D43" s="63" t="s">
        <v>20</v>
      </c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5"/>
    </row>
    <row r="44" spans="1:24" s="154" customFormat="1" ht="42.75" customHeight="1" x14ac:dyDescent="0.25">
      <c r="D44" s="66" t="str">
        <f>CONCATENATE("Variação do mês de ",(TEXT(D52,"MMMM"))&amp;" de "&amp;YEAR(D52)&amp;" /  mês anterior")</f>
        <v>Variação do mês de dezembro de 2019 /  mês anterior</v>
      </c>
      <c r="E44" s="67">
        <f>IFERROR((E56-E57)/E57 * 100,"-")</f>
        <v>-34.92322600019223</v>
      </c>
      <c r="F44" s="67">
        <f t="shared" ref="F44:X44" si="0">IFERROR((F56-F57)/F57 * 100,"-")</f>
        <v>243.77366193780071</v>
      </c>
      <c r="G44" s="67">
        <f t="shared" si="0"/>
        <v>10.392826983457617</v>
      </c>
      <c r="H44" s="67">
        <f t="shared" si="0"/>
        <v>6.6285244826159095</v>
      </c>
      <c r="I44" s="67">
        <f t="shared" si="0"/>
        <v>14.323794111453905</v>
      </c>
      <c r="J44" s="67">
        <f t="shared" si="0"/>
        <v>-35.830360328771654</v>
      </c>
      <c r="K44" s="67">
        <f t="shared" si="0"/>
        <v>6.1843015750349259</v>
      </c>
      <c r="L44" s="67">
        <f t="shared" si="0"/>
        <v>-9.146663577539254</v>
      </c>
      <c r="M44" s="67">
        <f t="shared" si="0"/>
        <v>3.081557352763608E-2</v>
      </c>
      <c r="N44" s="67">
        <f t="shared" si="0"/>
        <v>-3.4980209959157986</v>
      </c>
      <c r="O44" s="67">
        <f t="shared" si="0"/>
        <v>-79.77904762421683</v>
      </c>
      <c r="P44" s="67">
        <f t="shared" si="0"/>
        <v>98.118623915285525</v>
      </c>
      <c r="Q44" s="67">
        <f t="shared" si="0"/>
        <v>24.072905139012807</v>
      </c>
      <c r="R44" s="67">
        <f t="shared" si="0"/>
        <v>-9.609097377800758</v>
      </c>
      <c r="S44" s="67">
        <f t="shared" si="0"/>
        <v>5.608759825627307</v>
      </c>
      <c r="T44" s="67">
        <f t="shared" si="0"/>
        <v>23.172025466853896</v>
      </c>
      <c r="U44" s="67">
        <f t="shared" si="0"/>
        <v>-21.163537685022728</v>
      </c>
      <c r="V44" s="67">
        <f t="shared" si="0"/>
        <v>-9.7158791551126562</v>
      </c>
      <c r="W44" s="67">
        <f t="shared" si="0"/>
        <v>-3.6902358749300688</v>
      </c>
      <c r="X44" s="68">
        <f t="shared" si="0"/>
        <v>11.278806631241714</v>
      </c>
    </row>
    <row r="45" spans="1:24" s="154" customFormat="1" ht="45" customHeight="1" x14ac:dyDescent="0.25">
      <c r="D45" s="69" t="str">
        <f>CONCATENATE("Variação de "&amp;TEXT(D52,"MMMM")&amp;" de "&amp;YEAR(D52)&amp;" /  igual mês do ano anterior")</f>
        <v>Variação de dezembro de 2019 /  igual mês do ano anterior</v>
      </c>
      <c r="E45" s="67">
        <f>IFERROR((E56-E58)/E58*100,"-")</f>
        <v>-65.671128267317613</v>
      </c>
      <c r="F45" s="67">
        <f t="shared" ref="F45:X45" si="1">IFERROR((F56-F58)/F58*100,"-")</f>
        <v>219.15299536737018</v>
      </c>
      <c r="G45" s="67">
        <f t="shared" si="1"/>
        <v>9.0726398648669608</v>
      </c>
      <c r="H45" s="67">
        <f t="shared" si="1"/>
        <v>48.545478965710927</v>
      </c>
      <c r="I45" s="67">
        <f t="shared" si="1"/>
        <v>30.593852955676539</v>
      </c>
      <c r="J45" s="67">
        <f t="shared" si="1"/>
        <v>-8.4721068232594696</v>
      </c>
      <c r="K45" s="67">
        <f t="shared" si="1"/>
        <v>11.546905963075147</v>
      </c>
      <c r="L45" s="67">
        <f t="shared" si="1"/>
        <v>3.889048038040678</v>
      </c>
      <c r="M45" s="67">
        <f t="shared" si="1"/>
        <v>0.29411756467234357</v>
      </c>
      <c r="N45" s="67">
        <f t="shared" si="1"/>
        <v>4.2934022783233878</v>
      </c>
      <c r="O45" s="67">
        <f t="shared" si="1"/>
        <v>-43.56716466076108</v>
      </c>
      <c r="P45" s="67">
        <f t="shared" si="1"/>
        <v>138.50208851640204</v>
      </c>
      <c r="Q45" s="67">
        <f t="shared" si="1"/>
        <v>140.92551110207796</v>
      </c>
      <c r="R45" s="67">
        <f t="shared" si="1"/>
        <v>33.254686196731136</v>
      </c>
      <c r="S45" s="67">
        <f t="shared" si="1"/>
        <v>-94.293557137226713</v>
      </c>
      <c r="T45" s="67">
        <f t="shared" si="1"/>
        <v>37.74970430868111</v>
      </c>
      <c r="U45" s="67">
        <f t="shared" si="1"/>
        <v>69.786340618148898</v>
      </c>
      <c r="V45" s="67">
        <f t="shared" si="1"/>
        <v>-29.440942842437007</v>
      </c>
      <c r="W45" s="67">
        <f t="shared" si="1"/>
        <v>-32.62027312199303</v>
      </c>
      <c r="X45" s="68">
        <f t="shared" si="1"/>
        <v>20.871111986487254</v>
      </c>
    </row>
    <row r="46" spans="1:24" s="154" customFormat="1" ht="60.75" thickBot="1" x14ac:dyDescent="0.3">
      <c r="D46" s="70" t="str">
        <f>CONCATENATE("Variação acumulada no ano "&amp;YEAR(D52)," até "&amp;TEXT(D52,"MMMM")&amp;"/ igual período do ano anterior")</f>
        <v>Variação acumulada no ano 2019 até dezembro/ igual período do ano anterior</v>
      </c>
      <c r="E46" s="71">
        <f>IFERROR((E59-E60)/E60 * 100,"-")</f>
        <v>-15.249145289875363</v>
      </c>
      <c r="F46" s="71">
        <f t="shared" ref="F46:X46" si="2">IFERROR((F59-F60)/F60 * 100,"-")</f>
        <v>-44.889283036198421</v>
      </c>
      <c r="G46" s="71">
        <f t="shared" si="2"/>
        <v>6.4315500880024592</v>
      </c>
      <c r="H46" s="71">
        <f t="shared" si="2"/>
        <v>2.8708034820200528</v>
      </c>
      <c r="I46" s="71">
        <f t="shared" si="2"/>
        <v>17.084147001043721</v>
      </c>
      <c r="J46" s="71">
        <f t="shared" si="2"/>
        <v>12.108503269682851</v>
      </c>
      <c r="K46" s="71">
        <f t="shared" si="2"/>
        <v>2.0072722888633656</v>
      </c>
      <c r="L46" s="71">
        <f t="shared" si="2"/>
        <v>33.111287348312239</v>
      </c>
      <c r="M46" s="71">
        <f t="shared" si="2"/>
        <v>3.2811309966987281</v>
      </c>
      <c r="N46" s="71">
        <f t="shared" si="2"/>
        <v>-5.2284389343416509</v>
      </c>
      <c r="O46" s="71">
        <f t="shared" si="2"/>
        <v>7.1912581193160658</v>
      </c>
      <c r="P46" s="71">
        <f t="shared" si="2"/>
        <v>-32.117248702117372</v>
      </c>
      <c r="Q46" s="71">
        <f t="shared" si="2"/>
        <v>47.097227121522536</v>
      </c>
      <c r="R46" s="71">
        <f t="shared" si="2"/>
        <v>15.31799662600446</v>
      </c>
      <c r="S46" s="71">
        <f t="shared" si="2"/>
        <v>262.4376330024669</v>
      </c>
      <c r="T46" s="71">
        <f t="shared" si="2"/>
        <v>7.3793335209852096</v>
      </c>
      <c r="U46" s="71">
        <f t="shared" si="2"/>
        <v>102.593380102677</v>
      </c>
      <c r="V46" s="71">
        <f t="shared" si="2"/>
        <v>17.486556575929953</v>
      </c>
      <c r="W46" s="71">
        <f t="shared" si="2"/>
        <v>-1.2851936805942332</v>
      </c>
      <c r="X46" s="72">
        <f t="shared" si="2"/>
        <v>0.66477065252651157</v>
      </c>
    </row>
    <row r="47" spans="1:24" x14ac:dyDescent="0.25">
      <c r="D47" s="150" t="s">
        <v>71</v>
      </c>
      <c r="E47" s="149"/>
      <c r="F47" s="149"/>
      <c r="G47" s="149"/>
      <c r="H47" s="149"/>
    </row>
    <row r="48" spans="1:24" x14ac:dyDescent="0.25">
      <c r="D48" s="73" t="s">
        <v>13</v>
      </c>
      <c r="E48" s="74"/>
      <c r="F48" s="74"/>
      <c r="G48" s="74"/>
      <c r="H48" s="74"/>
    </row>
    <row r="49" spans="4:24" x14ac:dyDescent="0.25">
      <c r="D49" s="31"/>
      <c r="E49" s="75"/>
      <c r="F49" s="75"/>
      <c r="G49" s="75"/>
      <c r="H49" s="75"/>
    </row>
    <row r="50" spans="4:24" x14ac:dyDescent="0.25">
      <c r="D50" s="73"/>
      <c r="E50" s="75"/>
      <c r="F50" s="75"/>
      <c r="G50" s="75"/>
      <c r="H50" s="75"/>
    </row>
    <row r="51" spans="4:24" x14ac:dyDescent="0.25">
      <c r="D51" s="181" t="s">
        <v>41</v>
      </c>
      <c r="E51" s="182"/>
      <c r="F51" s="182"/>
      <c r="G51" s="182"/>
      <c r="H51" s="182"/>
    </row>
    <row r="52" spans="4:24" x14ac:dyDescent="0.25">
      <c r="D52" s="183">
        <v>43800</v>
      </c>
      <c r="E52" s="184"/>
      <c r="F52" s="184"/>
      <c r="G52" s="184"/>
      <c r="H52" s="184"/>
    </row>
    <row r="53" spans="4:24" x14ac:dyDescent="0.25">
      <c r="D53" s="76"/>
      <c r="E53" s="8"/>
      <c r="F53" s="8"/>
      <c r="G53" s="8"/>
      <c r="H53" s="8"/>
    </row>
    <row r="54" spans="4:24" hidden="1" x14ac:dyDescent="0.25">
      <c r="D54" s="76"/>
      <c r="E54" s="8"/>
      <c r="F54" s="8"/>
      <c r="G54" s="8"/>
      <c r="H54" s="8"/>
    </row>
    <row r="55" spans="4:24" hidden="1" x14ac:dyDescent="0.25">
      <c r="D55" s="76"/>
      <c r="E55" s="8"/>
      <c r="F55" s="8"/>
      <c r="G55" s="8"/>
      <c r="H55" s="8"/>
    </row>
    <row r="56" spans="4:24" s="8" customFormat="1" ht="11.25" hidden="1" x14ac:dyDescent="0.2">
      <c r="D56" s="140">
        <f>D52</f>
        <v>43800</v>
      </c>
      <c r="E56" s="141">
        <f>VLOOKUP(YEAR($D$56)&amp;MONTH($D$56),dados_icms!$A$4:$AE$14962,5,FALSE)</f>
        <v>287223.93</v>
      </c>
      <c r="F56" s="141">
        <f>VLOOKUP(YEAR($D$56)&amp;MONTH($D$56),dados_icms!$A$4:$AE$14962,6,FALSE)</f>
        <v>233175129.2700001</v>
      </c>
      <c r="G56" s="141">
        <f>VLOOKUP(YEAR($D$56)&amp;MONTH($D$56),dados_icms!$A$4:$AE$14962,7,FALSE)</f>
        <v>966624588.20000029</v>
      </c>
      <c r="H56" s="141">
        <f>VLOOKUP(YEAR($D$56)&amp;MONTH($D$56),dados_icms!$A$4:$AE$14962,8,FALSE)</f>
        <v>617879552.51999986</v>
      </c>
      <c r="I56" s="141">
        <f>VLOOKUP(YEAR($D$56)&amp;MONTH($D$56),dados_icms!$A$4:$AE$14962,9,FALSE)</f>
        <v>2923410.3800000004</v>
      </c>
      <c r="J56" s="141">
        <f>VLOOKUP(YEAR($D$56)&amp;MONTH($D$56),dados_icms!$A$4:$AE$14962,10,FALSE)</f>
        <v>4002905.1899999995</v>
      </c>
      <c r="K56" s="141">
        <f>VLOOKUP(YEAR($D$56)&amp;MONTH($D$56),dados_icms!$A$4:$AE$14962,11,FALSE)</f>
        <v>1086570005.5700004</v>
      </c>
      <c r="L56" s="141">
        <f>VLOOKUP(YEAR($D$56)&amp;MONTH($D$56),dados_icms!$A$4:$AE$14962,12,FALSE)</f>
        <v>94134017.430000022</v>
      </c>
      <c r="M56" s="141">
        <f>VLOOKUP(YEAR($D$56)&amp;MONTH($D$56),dados_icms!$A$4:$AE$14962,13,FALSE)</f>
        <v>38203659.230000004</v>
      </c>
      <c r="N56" s="141">
        <f>VLOOKUP(YEAR($D$56)&amp;MONTH($D$56),dados_icms!$A$4:$AE$14962,14,FALSE)</f>
        <v>269889082.86999995</v>
      </c>
      <c r="O56" s="141">
        <f>VLOOKUP(YEAR($D$56)&amp;MONTH($D$56),dados_icms!$A$4:$AE$14962,15,FALSE)</f>
        <v>68549.709999999992</v>
      </c>
      <c r="P56" s="141">
        <f>VLOOKUP(YEAR($D$56)&amp;MONTH($D$56),dados_icms!$A$4:$AE$14962,16,FALSE)</f>
        <v>30159.399999999998</v>
      </c>
      <c r="Q56" s="141">
        <f>VLOOKUP(YEAR($D$56)&amp;MONTH($D$56),dados_icms!$A$4:$AE$14962,17,FALSE)</f>
        <v>8768120.9499999993</v>
      </c>
      <c r="R56" s="141">
        <f>VLOOKUP(YEAR($D$56)&amp;MONTH($D$56),dados_icms!$A$4:$AE$14962,18,FALSE)</f>
        <v>5458173.9899999993</v>
      </c>
      <c r="S56" s="141">
        <f>VLOOKUP(YEAR($D$56)&amp;MONTH($D$56),dados_icms!$A$4:$AE$14962,19,FALSE)</f>
        <v>615.34</v>
      </c>
      <c r="T56" s="141">
        <f>VLOOKUP(YEAR($D$56)&amp;MONTH($D$56),dados_icms!$A$4:$AE$14962,20,FALSE)</f>
        <v>217380.25999999998</v>
      </c>
      <c r="U56" s="141">
        <f>VLOOKUP(YEAR($D$56)&amp;MONTH($D$56),dados_icms!$A$4:$AE$14962,21,FALSE)</f>
        <v>91477.959999999992</v>
      </c>
      <c r="V56" s="141">
        <f>VLOOKUP(YEAR($D$56)&amp;MONTH($D$56),dados_icms!$A$4:$AE$14962,22,FALSE)</f>
        <v>446819.59</v>
      </c>
      <c r="W56" s="141">
        <f>VLOOKUP(YEAR($D$56)&amp;MONTH($D$56),dados_icms!$A$4:$AE$14962,23,FALSE)</f>
        <v>1526089.3499999999</v>
      </c>
      <c r="X56" s="141">
        <f>VLOOKUP(YEAR($D$56)&amp;MONTH($D$56),dados_icms!$A$4:$AE$14962,24,FALSE)</f>
        <v>3330296961.1400003</v>
      </c>
    </row>
    <row r="57" spans="4:24" s="8" customFormat="1" ht="11.25" hidden="1" x14ac:dyDescent="0.2">
      <c r="D57" s="140">
        <f>EDATE(D52,-1)</f>
        <v>43770</v>
      </c>
      <c r="E57" s="141">
        <f>VLOOKUP(YEAR($D$57)&amp;MONTH($D$57),dados_icms!$A$4:$AE$14962,5,FALSE)</f>
        <v>441361.66000000003</v>
      </c>
      <c r="F57" s="141">
        <f>VLOOKUP(YEAR($D$57)&amp;MONTH($D$57),dados_icms!$A$4:$AE$14962,6,FALSE)</f>
        <v>67828095.950000003</v>
      </c>
      <c r="G57" s="141">
        <f>VLOOKUP(YEAR($D$57)&amp;MONTH($D$57),dados_icms!$A$4:$AE$14962,7,FALSE)</f>
        <v>875622641.98999918</v>
      </c>
      <c r="H57" s="141">
        <f>VLOOKUP(YEAR($D$57)&amp;MONTH($D$57),dados_icms!$A$4:$AE$14962,8,FALSE)</f>
        <v>579469288.84000015</v>
      </c>
      <c r="I57" s="141">
        <f>VLOOKUP(YEAR($D$57)&amp;MONTH($D$57),dados_icms!$A$4:$AE$14962,9,FALSE)</f>
        <v>2557132.0499999998</v>
      </c>
      <c r="J57" s="141">
        <f>VLOOKUP(YEAR($D$57)&amp;MONTH($D$57),dados_icms!$A$4:$AE$14962,10,FALSE)</f>
        <v>6238004.7799999984</v>
      </c>
      <c r="K57" s="141">
        <f>VLOOKUP(YEAR($D$57)&amp;MONTH($D$57),dados_icms!$A$4:$AE$14962,11,FALSE)</f>
        <v>1023286860.1600001</v>
      </c>
      <c r="L57" s="141">
        <f>VLOOKUP(YEAR($D$57)&amp;MONTH($D$57),dados_icms!$A$4:$AE$14962,12,FALSE)</f>
        <v>103610963.71000001</v>
      </c>
      <c r="M57" s="141">
        <f>VLOOKUP(YEAR($D$57)&amp;MONTH($D$57),dados_icms!$A$4:$AE$14962,13,FALSE)</f>
        <v>38191890.179999992</v>
      </c>
      <c r="N57" s="141">
        <f>VLOOKUP(YEAR($D$57)&amp;MONTH($D$57),dados_icms!$A$4:$AE$14962,14,FALSE)</f>
        <v>279672070.62</v>
      </c>
      <c r="O57" s="141">
        <f>VLOOKUP(YEAR($D$57)&amp;MONTH($D$57),dados_icms!$A$4:$AE$14962,15,FALSE)</f>
        <v>339003.36999999994</v>
      </c>
      <c r="P57" s="141">
        <f>VLOOKUP(YEAR($D$57)&amp;MONTH($D$57),dados_icms!$A$4:$AE$14962,16,FALSE)</f>
        <v>15222.9</v>
      </c>
      <c r="Q57" s="141">
        <f>VLOOKUP(YEAR($D$57)&amp;MONTH($D$57),dados_icms!$A$4:$AE$14962,17,FALSE)</f>
        <v>7066910.3300000019</v>
      </c>
      <c r="R57" s="141">
        <f>VLOOKUP(YEAR($D$57)&amp;MONTH($D$57),dados_icms!$A$4:$AE$14962,18,FALSE)</f>
        <v>6038410.7599999979</v>
      </c>
      <c r="S57" s="141">
        <f>VLOOKUP(YEAR($D$57)&amp;MONTH($D$57),dados_icms!$A$4:$AE$14962,19,FALSE)</f>
        <v>582.66</v>
      </c>
      <c r="T57" s="141">
        <f>VLOOKUP(YEAR($D$57)&amp;MONTH($D$57),dados_icms!$A$4:$AE$14962,20,FALSE)</f>
        <v>176485.08999999997</v>
      </c>
      <c r="U57" s="141">
        <f>VLOOKUP(YEAR($D$57)&amp;MONTH($D$57),dados_icms!$A$4:$AE$14962,21,FALSE)</f>
        <v>116035.09000000004</v>
      </c>
      <c r="V57" s="141">
        <f>VLOOKUP(YEAR($D$57)&amp;MONTH($D$57),dados_icms!$A$4:$AE$14962,22,FALSE)</f>
        <v>494903.85000000003</v>
      </c>
      <c r="W57" s="141">
        <f>VLOOKUP(YEAR($D$57)&amp;MONTH($D$57),dados_icms!$A$4:$AE$14962,23,FALSE)</f>
        <v>1584563.4800000002</v>
      </c>
      <c r="X57" s="141">
        <f>VLOOKUP(YEAR($D$57)&amp;MONTH($D$57),dados_icms!$A$4:$AE$14962,24,FALSE)</f>
        <v>2992750427.4699993</v>
      </c>
    </row>
    <row r="58" spans="4:24" s="8" customFormat="1" ht="11.25" hidden="1" x14ac:dyDescent="0.2">
      <c r="D58" s="142">
        <f>EDATE(D52,-12)</f>
        <v>43435</v>
      </c>
      <c r="E58" s="141">
        <f>VLOOKUP(YEAR($D$58)&amp;MONTH($D$58),dados_icms!$A$4:$AE$14962,5,FALSE)</f>
        <v>836683.28000000026</v>
      </c>
      <c r="F58" s="141">
        <f>VLOOKUP(YEAR($D$58)&amp;MONTH($D$58),dados_icms!$A$4:$AE$14962,6,FALSE)</f>
        <v>73060611.25999999</v>
      </c>
      <c r="G58" s="141">
        <f>VLOOKUP(YEAR($D$58)&amp;MONTH($D$58),dados_icms!$A$4:$AE$14962,7,FALSE)</f>
        <v>886220952.75</v>
      </c>
      <c r="H58" s="141">
        <f>VLOOKUP(YEAR($D$58)&amp;MONTH($D$58),dados_icms!$A$4:$AE$14962,8,FALSE)</f>
        <v>415953118.75</v>
      </c>
      <c r="I58" s="141">
        <f>VLOOKUP(YEAR($D$58)&amp;MONTH($D$58),dados_icms!$A$4:$AE$14962,9,FALSE)</f>
        <v>2238551.29</v>
      </c>
      <c r="J58" s="141">
        <f>VLOOKUP(YEAR($D$58)&amp;MONTH($D$58),dados_icms!$A$4:$AE$14962,10,FALSE)</f>
        <v>4373426.5600000015</v>
      </c>
      <c r="K58" s="141">
        <f>VLOOKUP(YEAR($D$58)&amp;MONTH($D$58),dados_icms!$A$4:$AE$14962,11,FALSE)</f>
        <v>974092464.67999983</v>
      </c>
      <c r="L58" s="141">
        <f>VLOOKUP(YEAR($D$58)&amp;MONTH($D$58),dados_icms!$A$4:$AE$14962,12,FALSE)</f>
        <v>90610145.350000039</v>
      </c>
      <c r="M58" s="141">
        <f>VLOOKUP(YEAR($D$58)&amp;MONTH($D$58),dados_icms!$A$4:$AE$14962,13,FALSE)</f>
        <v>38091625.07</v>
      </c>
      <c r="N58" s="141">
        <f>VLOOKUP(YEAR($D$58)&amp;MONTH($D$58),dados_icms!$A$4:$AE$14962,14,FALSE)</f>
        <v>258778673.40999997</v>
      </c>
      <c r="O58" s="141">
        <f>VLOOKUP(YEAR($D$58)&amp;MONTH($D$58),dados_icms!$A$4:$AE$14962,15,FALSE)</f>
        <v>121471.31999999999</v>
      </c>
      <c r="P58" s="141">
        <f>VLOOKUP(YEAR($D$58)&amp;MONTH($D$58),dados_icms!$A$4:$AE$14962,16,FALSE)</f>
        <v>12645.340000000002</v>
      </c>
      <c r="Q58" s="141">
        <f>VLOOKUP(YEAR($D$58)&amp;MONTH($D$58),dados_icms!$A$4:$AE$14962,17,FALSE)</f>
        <v>3639349.3200000003</v>
      </c>
      <c r="R58" s="141">
        <f>VLOOKUP(YEAR($D$58)&amp;MONTH($D$58),dados_icms!$A$4:$AE$14962,18,FALSE)</f>
        <v>4096046.5599999991</v>
      </c>
      <c r="S58" s="141">
        <f>VLOOKUP(YEAR($D$58)&amp;MONTH($D$58),dados_icms!$A$4:$AE$14962,19,FALSE)</f>
        <v>10783.25</v>
      </c>
      <c r="T58" s="141">
        <f>VLOOKUP(YEAR($D$58)&amp;MONTH($D$58),dados_icms!$A$4:$AE$14962,20,FALSE)</f>
        <v>157808.15000000002</v>
      </c>
      <c r="U58" s="141">
        <f>VLOOKUP(YEAR($D$58)&amp;MONTH($D$58),dados_icms!$A$4:$AE$14962,21,FALSE)</f>
        <v>53878.28</v>
      </c>
      <c r="V58" s="141">
        <f>VLOOKUP(YEAR($D$58)&amp;MONTH($D$58),dados_icms!$A$4:$AE$14962,22,FALSE)</f>
        <v>633256.18000000005</v>
      </c>
      <c r="W58" s="141">
        <f>VLOOKUP(YEAR($D$58)&amp;MONTH($D$58),dados_icms!$A$4:$AE$14962,23,FALSE)</f>
        <v>2264908.7800000003</v>
      </c>
      <c r="X58" s="141">
        <f>VLOOKUP(YEAR($D$58)&amp;MONTH($D$58),dados_icms!$A$4:$AE$14962,24,FALSE)</f>
        <v>2755246399.5800004</v>
      </c>
    </row>
    <row r="59" spans="4:24" s="8" customFormat="1" ht="33.75" hidden="1" x14ac:dyDescent="0.2">
      <c r="D59" s="142" t="str">
        <f>CONCATENATE("Ano de "&amp;(YEAR(D56)&amp;" acumulado até "&amp;(TEXT(D56,"MMMM"))))</f>
        <v>Ano de 2019 acumulado até dezembro</v>
      </c>
      <c r="E59" s="141">
        <f>VLOOKUP(YEAR($D$56)&amp;MONTH($D$56),icms_acumulados!$A$4:$AE$14962,5,FALSE)</f>
        <v>7298797.0599999996</v>
      </c>
      <c r="F59" s="141">
        <f>VLOOKUP(YEAR($D$56)&amp;MONTH($D$56),icms_acumulados!$A$4:$AE$14962,6,FALSE)</f>
        <v>1284044836.48</v>
      </c>
      <c r="G59" s="141">
        <f>VLOOKUP(YEAR($D$56)&amp;MONTH($D$56),icms_acumulados!$A$4:$AE$14962,7,FALSE)</f>
        <v>10774660671.570005</v>
      </c>
      <c r="H59" s="141">
        <f>VLOOKUP(YEAR($D$56)&amp;MONTH($D$56),icms_acumulados!$A$4:$AE$14962,8,FALSE)</f>
        <v>6679583489.0199995</v>
      </c>
      <c r="I59" s="141">
        <f>VLOOKUP(YEAR($D$56)&amp;MONTH($D$56),icms_acumulados!$A$4:$AE$14962,9,FALSE)</f>
        <v>32645222.329999994</v>
      </c>
      <c r="J59" s="141">
        <f>VLOOKUP(YEAR($D$56)&amp;MONTH($D$56),icms_acumulados!$A$4:$AE$14962,10,FALSE)</f>
        <v>52247345.049999997</v>
      </c>
      <c r="K59" s="141">
        <f>VLOOKUP(YEAR($D$56)&amp;MONTH($D$56),icms_acumulados!$A$4:$AE$14962,11,FALSE)</f>
        <v>11493326167.120001</v>
      </c>
      <c r="L59" s="141">
        <f>VLOOKUP(YEAR($D$56)&amp;MONTH($D$56),icms_acumulados!$A$4:$AE$14962,12,FALSE)</f>
        <v>1357789087.48</v>
      </c>
      <c r="M59" s="141">
        <f>VLOOKUP(YEAR($D$56)&amp;MONTH($D$56),icms_acumulados!$A$4:$AE$14962,13,FALSE)</f>
        <v>455695251.21000004</v>
      </c>
      <c r="N59" s="141">
        <f>VLOOKUP(YEAR($D$56)&amp;MONTH($D$56),icms_acumulados!$A$4:$AE$14962,14,FALSE)</f>
        <v>3246483119.9200001</v>
      </c>
      <c r="O59" s="141">
        <f>VLOOKUP(YEAR($D$56)&amp;MONTH($D$56),icms_acumulados!$A$4:$AE$14962,15,FALSE)</f>
        <v>1391007.89</v>
      </c>
      <c r="P59" s="141">
        <f>VLOOKUP(YEAR($D$56)&amp;MONTH($D$56),icms_acumulados!$A$4:$AE$14962,16,FALSE)</f>
        <v>202080.58999999997</v>
      </c>
      <c r="Q59" s="141">
        <f>VLOOKUP(YEAR($D$56)&amp;MONTH($D$56),icms_acumulados!$A$4:$AE$14962,17,FALSE)</f>
        <v>75888697.810000002</v>
      </c>
      <c r="R59" s="141">
        <f>VLOOKUP(YEAR($D$56)&amp;MONTH($D$56),icms_acumulados!$A$4:$AE$14962,18,FALSE)</f>
        <v>62198173.329999991</v>
      </c>
      <c r="S59" s="141">
        <f>VLOOKUP(YEAR($D$56)&amp;MONTH($D$56),icms_acumulados!$A$4:$AE$14962,19,FALSE)</f>
        <v>1288162.57</v>
      </c>
      <c r="T59" s="141">
        <f>VLOOKUP(YEAR($D$56)&amp;MONTH($D$56),icms_acumulados!$A$4:$AE$14962,20,FALSE)</f>
        <v>2725780.2699999996</v>
      </c>
      <c r="U59" s="141">
        <f>VLOOKUP(YEAR($D$56)&amp;MONTH($D$56),icms_acumulados!$A$4:$AE$14962,21,FALSE)</f>
        <v>1113775.3</v>
      </c>
      <c r="V59" s="141">
        <f>VLOOKUP(YEAR($D$56)&amp;MONTH($D$56),icms_acumulados!$A$4:$AE$14962,22,FALSE)</f>
        <v>5183737.419999999</v>
      </c>
      <c r="W59" s="141">
        <f>VLOOKUP(YEAR($D$56)&amp;MONTH($D$56),icms_acumulados!$A$4:$AE$14962,23,FALSE)</f>
        <v>17725569.559999999</v>
      </c>
      <c r="X59" s="141">
        <f>VLOOKUP(YEAR($D$56)&amp;MONTH($D$56),icms_acumulados!$A$4:$AE$14962,24,FALSE)</f>
        <v>35551490971.980003</v>
      </c>
    </row>
    <row r="60" spans="4:24" s="8" customFormat="1" ht="33.75" hidden="1" x14ac:dyDescent="0.2">
      <c r="D60" s="142" t="str">
        <f>CONCATENATE("Ano de "&amp;(YEAR(D58)&amp;" acumulado até "&amp;(TEXT(D58,"MMMM"))))</f>
        <v>Ano de 2018 acumulado até dezembro</v>
      </c>
      <c r="E60" s="141">
        <f>VLOOKUP(YEAR($D$58)&amp;MONTH($D$58),icms_acumulados!$A$4:$AE$14962,5,FALSE)</f>
        <v>8612063.0700000003</v>
      </c>
      <c r="F60" s="141">
        <f>VLOOKUP(YEAR($D$58)&amp;MONTH($D$58),icms_acumulados!$A$4:$AE$14962,6,FALSE)</f>
        <v>2329936729.5900002</v>
      </c>
      <c r="G60" s="141">
        <f>VLOOKUP(YEAR($D$58)&amp;MONTH($D$58),icms_acumulados!$A$4:$AE$14962,7,FALSE)</f>
        <v>10123558909.610003</v>
      </c>
      <c r="H60" s="141">
        <f>VLOOKUP(YEAR($D$58)&amp;MONTH($D$58),icms_acumulados!$A$4:$AE$14962,8,FALSE)</f>
        <v>6493177133.7700005</v>
      </c>
      <c r="I60" s="141">
        <f>VLOOKUP(YEAR($D$58)&amp;MONTH($D$58),icms_acumulados!$A$4:$AE$14962,9,FALSE)</f>
        <v>27881846.659999996</v>
      </c>
      <c r="J60" s="141">
        <f>VLOOKUP(YEAR($D$58)&amp;MONTH($D$58),icms_acumulados!$A$4:$AE$14962,10,FALSE)</f>
        <v>46604265.980000004</v>
      </c>
      <c r="K60" s="141">
        <f>VLOOKUP(YEAR($D$58)&amp;MONTH($D$58),icms_acumulados!$A$4:$AE$14962,11,FALSE)</f>
        <v>11267163516.120001</v>
      </c>
      <c r="L60" s="141">
        <f>VLOOKUP(YEAR($D$58)&amp;MONTH($D$58),icms_acumulados!$A$4:$AE$14962,12,FALSE)</f>
        <v>1020040534.8999999</v>
      </c>
      <c r="M60" s="141">
        <f>VLOOKUP(YEAR($D$58)&amp;MONTH($D$58),icms_acumulados!$A$4:$AE$14962,13,FALSE)</f>
        <v>441218300.78000003</v>
      </c>
      <c r="N60" s="141">
        <f>VLOOKUP(YEAR($D$58)&amp;MONTH($D$58),icms_acumulados!$A$4:$AE$14962,14,FALSE)</f>
        <v>3425587890.9400001</v>
      </c>
      <c r="O60" s="141">
        <f>VLOOKUP(YEAR($D$58)&amp;MONTH($D$58),icms_acumulados!$A$4:$AE$14962,15,FALSE)</f>
        <v>1297687.81</v>
      </c>
      <c r="P60" s="141">
        <f>VLOOKUP(YEAR($D$58)&amp;MONTH($D$58),icms_acumulados!$A$4:$AE$14962,16,FALSE)</f>
        <v>297690.63</v>
      </c>
      <c r="Q60" s="141">
        <f>VLOOKUP(YEAR($D$58)&amp;MONTH($D$58),icms_acumulados!$A$4:$AE$14962,17,FALSE)</f>
        <v>51590841.850000001</v>
      </c>
      <c r="R60" s="141">
        <f>VLOOKUP(YEAR($D$58)&amp;MONTH($D$58),icms_acumulados!$A$4:$AE$14962,18,FALSE)</f>
        <v>53936224.309999995</v>
      </c>
      <c r="S60" s="141">
        <f>VLOOKUP(YEAR($D$58)&amp;MONTH($D$58),icms_acumulados!$A$4:$AE$14962,19,FALSE)</f>
        <v>355416.34</v>
      </c>
      <c r="T60" s="141">
        <f>VLOOKUP(YEAR($D$58)&amp;MONTH($D$58),icms_acumulados!$A$4:$AE$14962,20,FALSE)</f>
        <v>2538458.9200000004</v>
      </c>
      <c r="U60" s="141">
        <f>VLOOKUP(YEAR($D$58)&amp;MONTH($D$58),icms_acumulados!$A$4:$AE$14962,21,FALSE)</f>
        <v>549758.98</v>
      </c>
      <c r="V60" s="141">
        <f>VLOOKUP(YEAR($D$58)&amp;MONTH($D$58),icms_acumulados!$A$4:$AE$14962,22,FALSE)</f>
        <v>4412196.2300000004</v>
      </c>
      <c r="W60" s="141">
        <f>VLOOKUP(YEAR($D$58)&amp;MONTH($D$58),icms_acumulados!$A$4:$AE$14962,23,FALSE)</f>
        <v>17956343.350000001</v>
      </c>
      <c r="X60" s="141">
        <f>VLOOKUP(YEAR($D$58)&amp;MONTH($D$58),icms_acumulados!$A$4:$AE$14962,24,FALSE)</f>
        <v>35316715809.839996</v>
      </c>
    </row>
    <row r="61" spans="4:24" hidden="1" x14ac:dyDescent="0.25">
      <c r="D61" s="76"/>
      <c r="E61" s="8"/>
      <c r="F61" s="8"/>
      <c r="G61" s="8"/>
      <c r="H61" s="8"/>
    </row>
    <row r="62" spans="4:24" hidden="1" x14ac:dyDescent="0.25">
      <c r="D62" s="76"/>
      <c r="E62" s="8"/>
      <c r="F62" s="8"/>
      <c r="G62" s="8"/>
      <c r="H62" s="8"/>
    </row>
    <row r="63" spans="4:24" hidden="1" x14ac:dyDescent="0.25"/>
    <row r="64" spans="4:24" hidden="1" x14ac:dyDescent="0.25"/>
    <row r="65" hidden="1" x14ac:dyDescent="0.25"/>
    <row r="66" hidden="1" x14ac:dyDescent="0.25"/>
    <row r="67" hidden="1" x14ac:dyDescent="0.25"/>
    <row r="68" hidden="1" x14ac:dyDescent="0.25"/>
  </sheetData>
  <mergeCells count="4">
    <mergeCell ref="D4:D5"/>
    <mergeCell ref="E4:X4"/>
    <mergeCell ref="D51:H51"/>
    <mergeCell ref="D52:H52"/>
  </mergeCells>
  <dataValidations count="1">
    <dataValidation type="list" allowBlank="1" showInputMessage="1" showErrorMessage="1" sqref="D52:H52">
      <formula1>lista_icms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2</vt:i4>
      </vt:variant>
    </vt:vector>
  </HeadingPairs>
  <TitlesOfParts>
    <vt:vector size="11" baseType="lpstr">
      <vt:lpstr>controle</vt:lpstr>
      <vt:lpstr>dados</vt:lpstr>
      <vt:lpstr>dados_acumulados</vt:lpstr>
      <vt:lpstr>painel_indicadores</vt:lpstr>
      <vt:lpstr>indicadores</vt:lpstr>
      <vt:lpstr>dados_icms</vt:lpstr>
      <vt:lpstr>icms_acumulados</vt:lpstr>
      <vt:lpstr>painel_icms</vt:lpstr>
      <vt:lpstr>indicadores_icms</vt:lpstr>
      <vt:lpstr>lista_icms</vt:lpstr>
      <vt:lpstr>lista_ind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Monteiro de Oliveira</dc:creator>
  <cp:lastModifiedBy>Alexandre Monteiro de Oliveira</cp:lastModifiedBy>
  <dcterms:created xsi:type="dcterms:W3CDTF">2019-09-30T17:40:22Z</dcterms:created>
  <dcterms:modified xsi:type="dcterms:W3CDTF">2020-02-17T17:10:22Z</dcterms:modified>
</cp:coreProperties>
</file>