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ogin - 2018-2019\Indicadores_COPE_COGIN\Indicadores_prontos_para_site\"/>
    </mc:Choice>
  </mc:AlternateContent>
  <bookViews>
    <workbookView xWindow="0" yWindow="0" windowWidth="24000" windowHeight="8835" firstSheet="3" activeTab="3"/>
  </bookViews>
  <sheets>
    <sheet name="controle" sheetId="4" state="hidden" r:id="rId1"/>
    <sheet name="dados_comercio" sheetId="7" state="hidden" r:id="rId2"/>
    <sheet name="comercio_acumulados" sheetId="8" state="hidden" r:id="rId3"/>
    <sheet name="painel_comercio" sheetId="9" r:id="rId4"/>
    <sheet name="indicadores_comercio" sheetId="10" r:id="rId5"/>
  </sheets>
  <definedNames>
    <definedName name="lista_comercio">controle!$H$3:$H$38</definedName>
    <definedName name="lista_ind">controle!$E$3:$E$38</definedName>
    <definedName name="lista_serviços">controle!$J$3:$J$38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0" l="1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D40" i="10" l="1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D37" i="10" l="1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D58" i="10" l="1"/>
  <c r="D60" i="10" s="1"/>
  <c r="D57" i="10"/>
  <c r="D56" i="10"/>
  <c r="D59" i="10" s="1"/>
  <c r="D46" i="10"/>
  <c r="D45" i="10"/>
  <c r="D44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D6" i="9"/>
  <c r="C6" i="9"/>
  <c r="B6" i="9"/>
  <c r="H5" i="9" s="1"/>
  <c r="I5" i="9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44" i="8"/>
  <c r="C44" i="8"/>
  <c r="D44" i="8"/>
  <c r="A45" i="8"/>
  <c r="B45" i="8"/>
  <c r="C45" i="8"/>
  <c r="D45" i="8"/>
  <c r="A46" i="8"/>
  <c r="B46" i="8"/>
  <c r="C46" i="8"/>
  <c r="D46" i="8"/>
  <c r="A47" i="8"/>
  <c r="B47" i="8"/>
  <c r="C47" i="8"/>
  <c r="D47" i="8"/>
  <c r="C4" i="8"/>
  <c r="D4" i="8"/>
  <c r="D5" i="8"/>
  <c r="D6" i="8"/>
  <c r="D7" i="8"/>
  <c r="B8" i="8"/>
  <c r="C8" i="8"/>
  <c r="D8" i="8"/>
  <c r="D9" i="8"/>
  <c r="B10" i="8"/>
  <c r="D10" i="8"/>
  <c r="C11" i="8"/>
  <c r="D11" i="8"/>
  <c r="D12" i="8"/>
  <c r="C13" i="8"/>
  <c r="D13" i="8"/>
  <c r="B14" i="8"/>
  <c r="D14" i="8"/>
  <c r="B15" i="8"/>
  <c r="C15" i="8"/>
  <c r="D15" i="8"/>
  <c r="D16" i="8"/>
  <c r="D17" i="8"/>
  <c r="B18" i="8"/>
  <c r="D18" i="8"/>
  <c r="B19" i="8"/>
  <c r="C19" i="8"/>
  <c r="D19" i="8"/>
  <c r="C20" i="8"/>
  <c r="D20" i="8"/>
  <c r="D21" i="8"/>
  <c r="D22" i="8"/>
  <c r="D23" i="8"/>
  <c r="B24" i="8"/>
  <c r="C24" i="8"/>
  <c r="D24" i="8"/>
  <c r="D25" i="8"/>
  <c r="B26" i="8"/>
  <c r="D26" i="8"/>
  <c r="C27" i="8"/>
  <c r="D27" i="8"/>
  <c r="B28" i="8"/>
  <c r="C28" i="8"/>
  <c r="D28" i="8"/>
  <c r="C29" i="8"/>
  <c r="D29" i="8"/>
  <c r="B30" i="8"/>
  <c r="C30" i="8"/>
  <c r="D30" i="8"/>
  <c r="B31" i="8"/>
  <c r="C31" i="8"/>
  <c r="D31" i="8"/>
  <c r="D32" i="8"/>
  <c r="B33" i="8"/>
  <c r="C33" i="8"/>
  <c r="D33" i="8"/>
  <c r="D34" i="8"/>
  <c r="B35" i="8"/>
  <c r="C35" i="8"/>
  <c r="D35" i="8"/>
  <c r="C36" i="8"/>
  <c r="D36" i="8"/>
  <c r="B37" i="8"/>
  <c r="C37" i="8"/>
  <c r="D37" i="8"/>
  <c r="C38" i="8"/>
  <c r="D38" i="8"/>
  <c r="D39" i="8"/>
  <c r="B5" i="7"/>
  <c r="C5" i="7"/>
  <c r="C7" i="10" s="1"/>
  <c r="B6" i="7"/>
  <c r="C6" i="7"/>
  <c r="C8" i="10" s="1"/>
  <c r="B7" i="7"/>
  <c r="B9" i="10" s="1"/>
  <c r="C7" i="7"/>
  <c r="C9" i="10" s="1"/>
  <c r="B8" i="7"/>
  <c r="C8" i="7"/>
  <c r="C10" i="10" s="1"/>
  <c r="B9" i="7"/>
  <c r="C9" i="7"/>
  <c r="C11" i="10" s="1"/>
  <c r="B10" i="7"/>
  <c r="C10" i="7"/>
  <c r="C12" i="10" s="1"/>
  <c r="B11" i="7"/>
  <c r="B13" i="10" s="1"/>
  <c r="C11" i="7"/>
  <c r="C13" i="10" s="1"/>
  <c r="B12" i="7"/>
  <c r="C12" i="7"/>
  <c r="C14" i="10" s="1"/>
  <c r="B13" i="7"/>
  <c r="C13" i="7"/>
  <c r="C15" i="10" s="1"/>
  <c r="B14" i="7"/>
  <c r="C14" i="7"/>
  <c r="C16" i="10" s="1"/>
  <c r="A15" i="7"/>
  <c r="B15" i="7"/>
  <c r="B17" i="10" s="1"/>
  <c r="C15" i="7"/>
  <c r="C17" i="10" s="1"/>
  <c r="B16" i="7"/>
  <c r="C16" i="7"/>
  <c r="C18" i="10" s="1"/>
  <c r="B17" i="7"/>
  <c r="C17" i="7"/>
  <c r="C19" i="10" s="1"/>
  <c r="B18" i="7"/>
  <c r="C18" i="7"/>
  <c r="C20" i="10" s="1"/>
  <c r="B19" i="7"/>
  <c r="B21" i="10" s="1"/>
  <c r="C19" i="7"/>
  <c r="C21" i="10" s="1"/>
  <c r="B20" i="7"/>
  <c r="C20" i="7"/>
  <c r="C22" i="10" s="1"/>
  <c r="B21" i="7"/>
  <c r="C21" i="7"/>
  <c r="C23" i="10" s="1"/>
  <c r="B22" i="7"/>
  <c r="C22" i="7"/>
  <c r="C24" i="10" s="1"/>
  <c r="B23" i="7"/>
  <c r="B25" i="10" s="1"/>
  <c r="C23" i="7"/>
  <c r="C25" i="10" s="1"/>
  <c r="B24" i="7"/>
  <c r="C24" i="7"/>
  <c r="C26" i="10" s="1"/>
  <c r="B25" i="7"/>
  <c r="C25" i="7"/>
  <c r="C27" i="10" s="1"/>
  <c r="B26" i="7"/>
  <c r="C26" i="7"/>
  <c r="C28" i="10" s="1"/>
  <c r="B27" i="7"/>
  <c r="B29" i="10" s="1"/>
  <c r="C27" i="7"/>
  <c r="C29" i="10" s="1"/>
  <c r="B28" i="7"/>
  <c r="C28" i="7"/>
  <c r="C30" i="10" s="1"/>
  <c r="B29" i="7"/>
  <c r="C29" i="7"/>
  <c r="C31" i="10" s="1"/>
  <c r="B30" i="7"/>
  <c r="C30" i="7"/>
  <c r="C32" i="10" s="1"/>
  <c r="A31" i="7"/>
  <c r="A33" i="10" s="1"/>
  <c r="B31" i="7"/>
  <c r="B33" i="10" s="1"/>
  <c r="C31" i="7"/>
  <c r="C33" i="10" s="1"/>
  <c r="B32" i="7"/>
  <c r="C32" i="7"/>
  <c r="C34" i="10" s="1"/>
  <c r="B33" i="7"/>
  <c r="C33" i="7"/>
  <c r="C35" i="10" s="1"/>
  <c r="B34" i="7"/>
  <c r="C34" i="7"/>
  <c r="C36" i="10" s="1"/>
  <c r="B35" i="7"/>
  <c r="A35" i="7" s="1"/>
  <c r="A35" i="8" s="1"/>
  <c r="C35" i="7"/>
  <c r="B36" i="7"/>
  <c r="A36" i="7" s="1"/>
  <c r="A36" i="8" s="1"/>
  <c r="C36" i="7"/>
  <c r="B37" i="7"/>
  <c r="C37" i="7"/>
  <c r="B38" i="7"/>
  <c r="A38" i="7" s="1"/>
  <c r="A38" i="8" s="1"/>
  <c r="C38" i="7"/>
  <c r="B39" i="7"/>
  <c r="A39" i="7" s="1"/>
  <c r="A39" i="8" s="1"/>
  <c r="C39" i="7"/>
  <c r="C39" i="8" s="1"/>
  <c r="C4" i="7"/>
  <c r="C6" i="10" s="1"/>
  <c r="B4" i="7"/>
  <c r="B6" i="10" s="1"/>
  <c r="A4" i="7"/>
  <c r="E108" i="7"/>
  <c r="C8" i="9" l="1"/>
  <c r="G8" i="9" s="1"/>
  <c r="C12" i="9"/>
  <c r="G12" i="9" s="1"/>
  <c r="C16" i="9"/>
  <c r="G16" i="9" s="1"/>
  <c r="C20" i="9"/>
  <c r="G20" i="9" s="1"/>
  <c r="C7" i="9"/>
  <c r="G7" i="9" s="1"/>
  <c r="C9" i="9"/>
  <c r="G9" i="9" s="1"/>
  <c r="C13" i="9"/>
  <c r="G13" i="9" s="1"/>
  <c r="C17" i="9"/>
  <c r="G17" i="9" s="1"/>
  <c r="C21" i="9"/>
  <c r="G21" i="9" s="1"/>
  <c r="C18" i="9"/>
  <c r="G18" i="9" s="1"/>
  <c r="C11" i="9"/>
  <c r="G11" i="9" s="1"/>
  <c r="C15" i="9"/>
  <c r="G15" i="9" s="1"/>
  <c r="C19" i="9"/>
  <c r="G19" i="9" s="1"/>
  <c r="C10" i="9"/>
  <c r="G10" i="9" s="1"/>
  <c r="C14" i="9"/>
  <c r="G14" i="9" s="1"/>
  <c r="F7" i="9"/>
  <c r="F9" i="9"/>
  <c r="D11" i="9"/>
  <c r="H11" i="9" s="1"/>
  <c r="F13" i="9"/>
  <c r="D15" i="9"/>
  <c r="H15" i="9" s="1"/>
  <c r="F17" i="9"/>
  <c r="D19" i="9"/>
  <c r="H19" i="9" s="1"/>
  <c r="F21" i="9"/>
  <c r="D13" i="9"/>
  <c r="H13" i="9" s="1"/>
  <c r="F19" i="9"/>
  <c r="D21" i="9"/>
  <c r="H21" i="9" s="1"/>
  <c r="D8" i="9"/>
  <c r="H8" i="9" s="1"/>
  <c r="F10" i="9"/>
  <c r="D12" i="9"/>
  <c r="H12" i="9" s="1"/>
  <c r="F14" i="9"/>
  <c r="D16" i="9"/>
  <c r="H16" i="9" s="1"/>
  <c r="F18" i="9"/>
  <c r="D20" i="9"/>
  <c r="H20" i="9" s="1"/>
  <c r="D17" i="9"/>
  <c r="H17" i="9" s="1"/>
  <c r="F8" i="9"/>
  <c r="D10" i="9"/>
  <c r="H10" i="9" s="1"/>
  <c r="F12" i="9"/>
  <c r="D14" i="9"/>
  <c r="H14" i="9" s="1"/>
  <c r="F16" i="9"/>
  <c r="D18" i="9"/>
  <c r="H18" i="9" s="1"/>
  <c r="F20" i="9"/>
  <c r="D7" i="9"/>
  <c r="H7" i="9" s="1"/>
  <c r="D9" i="9"/>
  <c r="H9" i="9" s="1"/>
  <c r="F11" i="9"/>
  <c r="F15" i="9"/>
  <c r="A29" i="7"/>
  <c r="B31" i="10"/>
  <c r="A22" i="7"/>
  <c r="B24" i="10"/>
  <c r="A20" i="7"/>
  <c r="B22" i="10"/>
  <c r="A17" i="10"/>
  <c r="A15" i="8"/>
  <c r="A13" i="7"/>
  <c r="B15" i="10"/>
  <c r="A6" i="7"/>
  <c r="B8" i="10"/>
  <c r="C34" i="8"/>
  <c r="C32" i="8"/>
  <c r="C23" i="8"/>
  <c r="B22" i="8"/>
  <c r="C7" i="8"/>
  <c r="B6" i="8"/>
  <c r="A6" i="10"/>
  <c r="A4" i="8"/>
  <c r="A34" i="7"/>
  <c r="B36" i="10"/>
  <c r="A32" i="7"/>
  <c r="B34" i="10"/>
  <c r="A27" i="7"/>
  <c r="A25" i="7"/>
  <c r="B27" i="10"/>
  <c r="A18" i="7"/>
  <c r="B20" i="10"/>
  <c r="A16" i="7"/>
  <c r="B18" i="10"/>
  <c r="A11" i="7"/>
  <c r="A9" i="7"/>
  <c r="B11" i="10"/>
  <c r="B39" i="8"/>
  <c r="B38" i="8"/>
  <c r="G37" i="8"/>
  <c r="K37" i="8"/>
  <c r="O37" i="8"/>
  <c r="S37" i="8"/>
  <c r="H37" i="8"/>
  <c r="L37" i="8"/>
  <c r="P37" i="8"/>
  <c r="E37" i="8"/>
  <c r="I37" i="8"/>
  <c r="M37" i="8"/>
  <c r="Q37" i="8"/>
  <c r="F37" i="8"/>
  <c r="J37" i="8"/>
  <c r="N37" i="8"/>
  <c r="R37" i="8"/>
  <c r="B36" i="8"/>
  <c r="N35" i="8"/>
  <c r="R35" i="8"/>
  <c r="F35" i="8"/>
  <c r="J35" i="8"/>
  <c r="B34" i="8"/>
  <c r="N33" i="8"/>
  <c r="R33" i="8"/>
  <c r="B32" i="8"/>
  <c r="B29" i="8"/>
  <c r="B27" i="8"/>
  <c r="B23" i="8"/>
  <c r="C16" i="8"/>
  <c r="C12" i="8"/>
  <c r="B11" i="8"/>
  <c r="B7" i="8"/>
  <c r="A37" i="7"/>
  <c r="A37" i="8" s="1"/>
  <c r="A30" i="7"/>
  <c r="B32" i="10"/>
  <c r="A28" i="7"/>
  <c r="B30" i="10"/>
  <c r="A23" i="7"/>
  <c r="A21" i="7"/>
  <c r="B23" i="10"/>
  <c r="A14" i="7"/>
  <c r="B16" i="10"/>
  <c r="A12" i="7"/>
  <c r="B14" i="10"/>
  <c r="A7" i="7"/>
  <c r="A5" i="7"/>
  <c r="B7" i="10"/>
  <c r="A31" i="8"/>
  <c r="C25" i="8"/>
  <c r="C21" i="8"/>
  <c r="B20" i="8"/>
  <c r="C17" i="8"/>
  <c r="B16" i="8"/>
  <c r="B12" i="8"/>
  <c r="C9" i="8"/>
  <c r="C5" i="8"/>
  <c r="B4" i="8"/>
  <c r="A33" i="7"/>
  <c r="B35" i="10"/>
  <c r="A26" i="7"/>
  <c r="B28" i="10"/>
  <c r="A24" i="7"/>
  <c r="B26" i="10"/>
  <c r="A19" i="7"/>
  <c r="A17" i="7"/>
  <c r="B19" i="10"/>
  <c r="A10" i="7"/>
  <c r="B12" i="10"/>
  <c r="A8" i="7"/>
  <c r="B10" i="10"/>
  <c r="C26" i="8"/>
  <c r="B25" i="8"/>
  <c r="C22" i="8"/>
  <c r="B21" i="8"/>
  <c r="C18" i="8"/>
  <c r="B17" i="8"/>
  <c r="C14" i="8"/>
  <c r="B13" i="8"/>
  <c r="C10" i="8"/>
  <c r="B9" i="8"/>
  <c r="C6" i="8"/>
  <c r="B5" i="8"/>
  <c r="N58" i="10"/>
  <c r="I58" i="10"/>
  <c r="J58" i="10"/>
  <c r="R58" i="10"/>
  <c r="Q58" i="10"/>
  <c r="M58" i="10"/>
  <c r="M56" i="10"/>
  <c r="Q56" i="10"/>
  <c r="H58" i="10"/>
  <c r="L58" i="10"/>
  <c r="P58" i="10"/>
  <c r="H56" i="10"/>
  <c r="L56" i="10"/>
  <c r="P56" i="10"/>
  <c r="I56" i="10"/>
  <c r="J56" i="10"/>
  <c r="N56" i="10"/>
  <c r="R56" i="10"/>
  <c r="K58" i="10"/>
  <c r="O58" i="10"/>
  <c r="S58" i="10"/>
  <c r="K56" i="10"/>
  <c r="O56" i="10"/>
  <c r="S56" i="10"/>
  <c r="I57" i="10"/>
  <c r="M57" i="10"/>
  <c r="Q57" i="10"/>
  <c r="J57" i="10"/>
  <c r="N57" i="10"/>
  <c r="R57" i="10"/>
  <c r="K57" i="10"/>
  <c r="O57" i="10"/>
  <c r="S57" i="10"/>
  <c r="H57" i="10"/>
  <c r="L57" i="10"/>
  <c r="P57" i="10"/>
  <c r="F56" i="10"/>
  <c r="G57" i="10"/>
  <c r="E58" i="10"/>
  <c r="G56" i="10"/>
  <c r="F58" i="10"/>
  <c r="E57" i="10"/>
  <c r="G58" i="10"/>
  <c r="E56" i="10"/>
  <c r="F57" i="10"/>
  <c r="G5" i="9"/>
  <c r="E6" i="9"/>
  <c r="F6" i="9"/>
  <c r="H36" i="8"/>
  <c r="L36" i="8"/>
  <c r="P36" i="8"/>
  <c r="E36" i="8"/>
  <c r="I36" i="8"/>
  <c r="M36" i="8"/>
  <c r="Q36" i="8"/>
  <c r="G36" i="8"/>
  <c r="K36" i="8"/>
  <c r="O36" i="8"/>
  <c r="S36" i="8"/>
  <c r="H35" i="8"/>
  <c r="L35" i="8"/>
  <c r="P35" i="8"/>
  <c r="E35" i="8"/>
  <c r="I35" i="8"/>
  <c r="M35" i="8"/>
  <c r="Q35" i="8"/>
  <c r="G35" i="8"/>
  <c r="K35" i="8"/>
  <c r="O35" i="8"/>
  <c r="S35" i="8"/>
  <c r="H34" i="8"/>
  <c r="L34" i="8"/>
  <c r="P34" i="8"/>
  <c r="E34" i="8"/>
  <c r="I34" i="8"/>
  <c r="M34" i="8"/>
  <c r="Q34" i="8"/>
  <c r="G34" i="8"/>
  <c r="K34" i="8"/>
  <c r="O34" i="8"/>
  <c r="S34" i="8"/>
  <c r="H33" i="8"/>
  <c r="L33" i="8"/>
  <c r="P33" i="8"/>
  <c r="E33" i="8"/>
  <c r="I33" i="8"/>
  <c r="M33" i="8"/>
  <c r="Q33" i="8"/>
  <c r="F33" i="8"/>
  <c r="J33" i="8"/>
  <c r="G33" i="8"/>
  <c r="K33" i="8"/>
  <c r="O33" i="8"/>
  <c r="S33" i="8"/>
  <c r="H32" i="8"/>
  <c r="L32" i="8"/>
  <c r="P32" i="8"/>
  <c r="E32" i="8"/>
  <c r="I32" i="8"/>
  <c r="M32" i="8"/>
  <c r="Q32" i="8"/>
  <c r="F32" i="8"/>
  <c r="J32" i="8"/>
  <c r="N32" i="8"/>
  <c r="R32" i="8"/>
  <c r="G32" i="8"/>
  <c r="K32" i="8"/>
  <c r="O32" i="8"/>
  <c r="S32" i="8"/>
  <c r="H31" i="8"/>
  <c r="L31" i="8"/>
  <c r="P31" i="8"/>
  <c r="E31" i="8"/>
  <c r="I31" i="8"/>
  <c r="M31" i="8"/>
  <c r="Q31" i="8"/>
  <c r="F31" i="8"/>
  <c r="J31" i="8"/>
  <c r="N31" i="8"/>
  <c r="R31" i="8"/>
  <c r="G31" i="8"/>
  <c r="K31" i="8"/>
  <c r="O31" i="8"/>
  <c r="S31" i="8"/>
  <c r="H30" i="8"/>
  <c r="L30" i="8"/>
  <c r="P30" i="8"/>
  <c r="E30" i="8"/>
  <c r="I30" i="8"/>
  <c r="M30" i="8"/>
  <c r="Q30" i="8"/>
  <c r="F30" i="8"/>
  <c r="J30" i="8"/>
  <c r="N30" i="8"/>
  <c r="R30" i="8"/>
  <c r="G30" i="8"/>
  <c r="K30" i="8"/>
  <c r="O30" i="8"/>
  <c r="S30" i="8"/>
  <c r="H29" i="8"/>
  <c r="L29" i="8"/>
  <c r="P29" i="8"/>
  <c r="E29" i="8"/>
  <c r="I29" i="8"/>
  <c r="M29" i="8"/>
  <c r="Q29" i="8"/>
  <c r="F29" i="8"/>
  <c r="J29" i="8"/>
  <c r="N29" i="8"/>
  <c r="R29" i="8"/>
  <c r="G29" i="8"/>
  <c r="K29" i="8"/>
  <c r="O29" i="8"/>
  <c r="S29" i="8"/>
  <c r="H28" i="8"/>
  <c r="L28" i="8"/>
  <c r="P28" i="8"/>
  <c r="E28" i="8"/>
  <c r="I28" i="8"/>
  <c r="M28" i="8"/>
  <c r="Q28" i="8"/>
  <c r="F28" i="8"/>
  <c r="J28" i="8"/>
  <c r="N28" i="8"/>
  <c r="R28" i="8"/>
  <c r="G28" i="8"/>
  <c r="K28" i="8"/>
  <c r="O28" i="8"/>
  <c r="S28" i="8"/>
  <c r="H27" i="8"/>
  <c r="L27" i="8"/>
  <c r="P27" i="8"/>
  <c r="E27" i="8"/>
  <c r="I27" i="8"/>
  <c r="M27" i="8"/>
  <c r="Q27" i="8"/>
  <c r="F27" i="8"/>
  <c r="J27" i="8"/>
  <c r="N27" i="8"/>
  <c r="R27" i="8"/>
  <c r="G27" i="8"/>
  <c r="K27" i="8"/>
  <c r="O27" i="8"/>
  <c r="S27" i="8"/>
  <c r="H26" i="8"/>
  <c r="L26" i="8"/>
  <c r="P26" i="8"/>
  <c r="E26" i="8"/>
  <c r="I26" i="8"/>
  <c r="M26" i="8"/>
  <c r="Q26" i="8"/>
  <c r="F26" i="8"/>
  <c r="J26" i="8"/>
  <c r="N26" i="8"/>
  <c r="R26" i="8"/>
  <c r="G26" i="8"/>
  <c r="K26" i="8"/>
  <c r="O26" i="8"/>
  <c r="S26" i="8"/>
  <c r="H25" i="8"/>
  <c r="L25" i="8"/>
  <c r="P25" i="8"/>
  <c r="E25" i="8"/>
  <c r="I25" i="8"/>
  <c r="M25" i="8"/>
  <c r="Q25" i="8"/>
  <c r="F25" i="8"/>
  <c r="J25" i="8"/>
  <c r="N25" i="8"/>
  <c r="R25" i="8"/>
  <c r="G25" i="8"/>
  <c r="K25" i="8"/>
  <c r="O25" i="8"/>
  <c r="S25" i="8"/>
  <c r="H24" i="8"/>
  <c r="L24" i="8"/>
  <c r="P24" i="8"/>
  <c r="E24" i="8"/>
  <c r="I24" i="8"/>
  <c r="M24" i="8"/>
  <c r="Q24" i="8"/>
  <c r="F24" i="8"/>
  <c r="J24" i="8"/>
  <c r="N24" i="8"/>
  <c r="R24" i="8"/>
  <c r="G24" i="8"/>
  <c r="K24" i="8"/>
  <c r="O24" i="8"/>
  <c r="S24" i="8"/>
  <c r="H23" i="8"/>
  <c r="L23" i="8"/>
  <c r="P23" i="8"/>
  <c r="E23" i="8"/>
  <c r="I23" i="8"/>
  <c r="M23" i="8"/>
  <c r="Q23" i="8"/>
  <c r="F23" i="8"/>
  <c r="J23" i="8"/>
  <c r="N23" i="8"/>
  <c r="R23" i="8"/>
  <c r="G23" i="8"/>
  <c r="K23" i="8"/>
  <c r="O23" i="8"/>
  <c r="S23" i="8"/>
  <c r="H22" i="8"/>
  <c r="L22" i="8"/>
  <c r="P22" i="8"/>
  <c r="E22" i="8"/>
  <c r="I22" i="8"/>
  <c r="M22" i="8"/>
  <c r="Q22" i="8"/>
  <c r="F22" i="8"/>
  <c r="J22" i="8"/>
  <c r="N22" i="8"/>
  <c r="R22" i="8"/>
  <c r="G22" i="8"/>
  <c r="K22" i="8"/>
  <c r="O22" i="8"/>
  <c r="S22" i="8"/>
  <c r="G21" i="8"/>
  <c r="M21" i="8"/>
  <c r="R21" i="8"/>
  <c r="I21" i="8"/>
  <c r="N21" i="8"/>
  <c r="S21" i="8"/>
  <c r="E21" i="8"/>
  <c r="J21" i="8"/>
  <c r="O21" i="8"/>
  <c r="F21" i="8"/>
  <c r="K21" i="8"/>
  <c r="Q21" i="8"/>
  <c r="K20" i="8"/>
  <c r="Q20" i="8"/>
  <c r="F20" i="8"/>
  <c r="M20" i="8"/>
  <c r="R20" i="8"/>
  <c r="G20" i="8"/>
  <c r="N20" i="8"/>
  <c r="S20" i="8"/>
  <c r="J20" i="8"/>
  <c r="O20" i="8"/>
  <c r="J19" i="8"/>
  <c r="N19" i="8"/>
  <c r="R19" i="8"/>
  <c r="F19" i="8"/>
  <c r="N18" i="8"/>
  <c r="R18" i="8"/>
  <c r="F18" i="8"/>
  <c r="J18" i="8"/>
  <c r="R17" i="8"/>
  <c r="H21" i="8"/>
  <c r="L21" i="8"/>
  <c r="P21" i="8"/>
  <c r="E20" i="8"/>
  <c r="I20" i="8"/>
  <c r="H20" i="8"/>
  <c r="L20" i="8"/>
  <c r="P20" i="8"/>
  <c r="E19" i="8"/>
  <c r="I19" i="8"/>
  <c r="M19" i="8"/>
  <c r="Q19" i="8"/>
  <c r="G19" i="8"/>
  <c r="K19" i="8"/>
  <c r="O19" i="8"/>
  <c r="S19" i="8"/>
  <c r="H19" i="8"/>
  <c r="L19" i="8"/>
  <c r="P19" i="8"/>
  <c r="E18" i="8"/>
  <c r="I18" i="8"/>
  <c r="M18" i="8"/>
  <c r="Q18" i="8"/>
  <c r="G18" i="8"/>
  <c r="K18" i="8"/>
  <c r="O18" i="8"/>
  <c r="S18" i="8"/>
  <c r="H18" i="8"/>
  <c r="L18" i="8"/>
  <c r="P18" i="8"/>
  <c r="E17" i="8"/>
  <c r="I17" i="8"/>
  <c r="M17" i="8"/>
  <c r="Q17" i="8"/>
  <c r="F17" i="8"/>
  <c r="J17" i="8"/>
  <c r="N17" i="8"/>
  <c r="G17" i="8"/>
  <c r="K17" i="8"/>
  <c r="O17" i="8"/>
  <c r="S17" i="8"/>
  <c r="H17" i="8"/>
  <c r="L17" i="8"/>
  <c r="P17" i="8"/>
  <c r="E16" i="8"/>
  <c r="I16" i="8"/>
  <c r="M16" i="8"/>
  <c r="Q16" i="8"/>
  <c r="F16" i="8"/>
  <c r="J16" i="8"/>
  <c r="N16" i="8"/>
  <c r="R16" i="8"/>
  <c r="G16" i="8"/>
  <c r="K16" i="8"/>
  <c r="O16" i="8"/>
  <c r="S16" i="8"/>
  <c r="H16" i="8"/>
  <c r="L16" i="8"/>
  <c r="P16" i="8"/>
  <c r="E15" i="8"/>
  <c r="I15" i="8"/>
  <c r="M15" i="8"/>
  <c r="Q15" i="8"/>
  <c r="F15" i="8"/>
  <c r="J15" i="8"/>
  <c r="N15" i="8"/>
  <c r="R15" i="8"/>
  <c r="G15" i="8"/>
  <c r="K15" i="8"/>
  <c r="O15" i="8"/>
  <c r="S15" i="8"/>
  <c r="H15" i="8"/>
  <c r="L15" i="8"/>
  <c r="P15" i="8"/>
  <c r="E14" i="8"/>
  <c r="I14" i="8"/>
  <c r="M14" i="8"/>
  <c r="Q14" i="8"/>
  <c r="F14" i="8"/>
  <c r="J14" i="8"/>
  <c r="N14" i="8"/>
  <c r="R14" i="8"/>
  <c r="G14" i="8"/>
  <c r="K14" i="8"/>
  <c r="O14" i="8"/>
  <c r="S14" i="8"/>
  <c r="H14" i="8"/>
  <c r="L14" i="8"/>
  <c r="P14" i="8"/>
  <c r="E13" i="8"/>
  <c r="I13" i="8"/>
  <c r="M13" i="8"/>
  <c r="Q13" i="8"/>
  <c r="F13" i="8"/>
  <c r="J13" i="8"/>
  <c r="N13" i="8"/>
  <c r="R13" i="8"/>
  <c r="G13" i="8"/>
  <c r="K13" i="8"/>
  <c r="O13" i="8"/>
  <c r="S13" i="8"/>
  <c r="H13" i="8"/>
  <c r="L13" i="8"/>
  <c r="P13" i="8"/>
  <c r="E12" i="8"/>
  <c r="I12" i="8"/>
  <c r="M12" i="8"/>
  <c r="Q12" i="8"/>
  <c r="F12" i="8"/>
  <c r="J12" i="8"/>
  <c r="N12" i="8"/>
  <c r="R12" i="8"/>
  <c r="G12" i="8"/>
  <c r="K12" i="8"/>
  <c r="O12" i="8"/>
  <c r="S12" i="8"/>
  <c r="H12" i="8"/>
  <c r="L12" i="8"/>
  <c r="P12" i="8"/>
  <c r="E11" i="8"/>
  <c r="I11" i="8"/>
  <c r="M11" i="8"/>
  <c r="Q11" i="8"/>
  <c r="F11" i="8"/>
  <c r="J11" i="8"/>
  <c r="N11" i="8"/>
  <c r="R11" i="8"/>
  <c r="G11" i="8"/>
  <c r="K11" i="8"/>
  <c r="O11" i="8"/>
  <c r="S11" i="8"/>
  <c r="H11" i="8"/>
  <c r="L11" i="8"/>
  <c r="P11" i="8"/>
  <c r="E10" i="8"/>
  <c r="I10" i="8"/>
  <c r="M10" i="8"/>
  <c r="Q10" i="8"/>
  <c r="F10" i="8"/>
  <c r="J10" i="8"/>
  <c r="N10" i="8"/>
  <c r="R10" i="8"/>
  <c r="G10" i="8"/>
  <c r="K10" i="8"/>
  <c r="O10" i="8"/>
  <c r="S10" i="8"/>
  <c r="H10" i="8"/>
  <c r="L10" i="8"/>
  <c r="P10" i="8"/>
  <c r="E9" i="8"/>
  <c r="I9" i="8"/>
  <c r="M9" i="8"/>
  <c r="Q9" i="8"/>
  <c r="F9" i="8"/>
  <c r="J9" i="8"/>
  <c r="N9" i="8"/>
  <c r="R9" i="8"/>
  <c r="G9" i="8"/>
  <c r="K9" i="8"/>
  <c r="O9" i="8"/>
  <c r="S9" i="8"/>
  <c r="H9" i="8"/>
  <c r="L9" i="8"/>
  <c r="P9" i="8"/>
  <c r="E8" i="8"/>
  <c r="I8" i="8"/>
  <c r="M8" i="8"/>
  <c r="Q8" i="8"/>
  <c r="F8" i="8"/>
  <c r="J8" i="8"/>
  <c r="N8" i="8"/>
  <c r="R8" i="8"/>
  <c r="G8" i="8"/>
  <c r="K8" i="8"/>
  <c r="O8" i="8"/>
  <c r="S8" i="8"/>
  <c r="H8" i="8"/>
  <c r="L8" i="8"/>
  <c r="P8" i="8"/>
  <c r="E7" i="8"/>
  <c r="I7" i="8"/>
  <c r="M7" i="8"/>
  <c r="Q7" i="8"/>
  <c r="F7" i="8"/>
  <c r="J7" i="8"/>
  <c r="N7" i="8"/>
  <c r="R7" i="8"/>
  <c r="G7" i="8"/>
  <c r="K7" i="8"/>
  <c r="O7" i="8"/>
  <c r="S7" i="8"/>
  <c r="H7" i="8"/>
  <c r="L7" i="8"/>
  <c r="P7" i="8"/>
  <c r="E6" i="8"/>
  <c r="I6" i="8"/>
  <c r="M6" i="8"/>
  <c r="Q6" i="8"/>
  <c r="F6" i="8"/>
  <c r="J6" i="8"/>
  <c r="N6" i="8"/>
  <c r="R6" i="8"/>
  <c r="G6" i="8"/>
  <c r="K6" i="8"/>
  <c r="O6" i="8"/>
  <c r="S6" i="8"/>
  <c r="H6" i="8"/>
  <c r="L6" i="8"/>
  <c r="P6" i="8"/>
  <c r="E5" i="8"/>
  <c r="I5" i="8"/>
  <c r="M5" i="8"/>
  <c r="Q5" i="8"/>
  <c r="F5" i="8"/>
  <c r="J5" i="8"/>
  <c r="N5" i="8"/>
  <c r="R5" i="8"/>
  <c r="G5" i="8"/>
  <c r="K5" i="8"/>
  <c r="O5" i="8"/>
  <c r="S5" i="8"/>
  <c r="H5" i="8"/>
  <c r="L5" i="8"/>
  <c r="P5" i="8"/>
  <c r="A10" i="10" l="1"/>
  <c r="A8" i="8"/>
  <c r="A12" i="10"/>
  <c r="A10" i="8"/>
  <c r="A19" i="10"/>
  <c r="A17" i="8"/>
  <c r="A21" i="10"/>
  <c r="A19" i="8"/>
  <c r="A26" i="10"/>
  <c r="A24" i="8"/>
  <c r="A28" i="10"/>
  <c r="A26" i="8"/>
  <c r="A35" i="10"/>
  <c r="A33" i="8"/>
  <c r="K4" i="8"/>
  <c r="O4" i="8"/>
  <c r="H4" i="8"/>
  <c r="L4" i="8"/>
  <c r="P4" i="8"/>
  <c r="I4" i="8"/>
  <c r="J4" i="8"/>
  <c r="R4" i="8"/>
  <c r="M4" i="8"/>
  <c r="S4" i="8"/>
  <c r="G4" i="8"/>
  <c r="N4" i="8"/>
  <c r="F4" i="8"/>
  <c r="Q4" i="8"/>
  <c r="E4" i="8"/>
  <c r="A7" i="10"/>
  <c r="A5" i="8"/>
  <c r="K60" i="10" s="1"/>
  <c r="A9" i="10"/>
  <c r="A7" i="8"/>
  <c r="A14" i="10"/>
  <c r="A12" i="8"/>
  <c r="A16" i="10"/>
  <c r="A14" i="8"/>
  <c r="A23" i="10"/>
  <c r="A21" i="8"/>
  <c r="A25" i="10"/>
  <c r="A23" i="8"/>
  <c r="A30" i="10"/>
  <c r="A28" i="8"/>
  <c r="A32" i="10"/>
  <c r="A30" i="8"/>
  <c r="R34" i="8"/>
  <c r="F34" i="8"/>
  <c r="J34" i="8"/>
  <c r="N34" i="8"/>
  <c r="J36" i="8"/>
  <c r="N36" i="8"/>
  <c r="R36" i="8"/>
  <c r="F36" i="8"/>
  <c r="G38" i="8"/>
  <c r="E9" i="9" s="1"/>
  <c r="I9" i="9" s="1"/>
  <c r="K38" i="8"/>
  <c r="E13" i="9" s="1"/>
  <c r="I13" i="9" s="1"/>
  <c r="O38" i="8"/>
  <c r="E17" i="9" s="1"/>
  <c r="I17" i="9" s="1"/>
  <c r="S38" i="8"/>
  <c r="E21" i="9" s="1"/>
  <c r="I21" i="9" s="1"/>
  <c r="H38" i="8"/>
  <c r="E10" i="9" s="1"/>
  <c r="I10" i="9" s="1"/>
  <c r="L38" i="8"/>
  <c r="E14" i="9" s="1"/>
  <c r="I14" i="9" s="1"/>
  <c r="P38" i="8"/>
  <c r="E18" i="9" s="1"/>
  <c r="I18" i="9" s="1"/>
  <c r="E38" i="8"/>
  <c r="E7" i="9" s="1"/>
  <c r="I7" i="9" s="1"/>
  <c r="I38" i="8"/>
  <c r="E11" i="9" s="1"/>
  <c r="I11" i="9" s="1"/>
  <c r="M38" i="8"/>
  <c r="E15" i="9" s="1"/>
  <c r="I15" i="9" s="1"/>
  <c r="Q38" i="8"/>
  <c r="E19" i="9" s="1"/>
  <c r="I19" i="9" s="1"/>
  <c r="F38" i="8"/>
  <c r="E8" i="9" s="1"/>
  <c r="I8" i="9" s="1"/>
  <c r="J38" i="8"/>
  <c r="E12" i="9" s="1"/>
  <c r="I12" i="9" s="1"/>
  <c r="N38" i="8"/>
  <c r="E16" i="9" s="1"/>
  <c r="I16" i="9" s="1"/>
  <c r="R38" i="8"/>
  <c r="E20" i="9" s="1"/>
  <c r="I20" i="9" s="1"/>
  <c r="G39" i="8"/>
  <c r="K39" i="8"/>
  <c r="O39" i="8"/>
  <c r="S39" i="8"/>
  <c r="H39" i="8"/>
  <c r="L39" i="8"/>
  <c r="P39" i="8"/>
  <c r="E39" i="8"/>
  <c r="I39" i="8"/>
  <c r="M39" i="8"/>
  <c r="Q39" i="8"/>
  <c r="F39" i="8"/>
  <c r="J39" i="8"/>
  <c r="N39" i="8"/>
  <c r="R39" i="8"/>
  <c r="A11" i="10"/>
  <c r="A9" i="8"/>
  <c r="A13" i="10"/>
  <c r="A11" i="8"/>
  <c r="A18" i="10"/>
  <c r="A16" i="8"/>
  <c r="A20" i="10"/>
  <c r="A18" i="8"/>
  <c r="A27" i="10"/>
  <c r="A25" i="8"/>
  <c r="A29" i="10"/>
  <c r="A27" i="8"/>
  <c r="A34" i="10"/>
  <c r="A32" i="8"/>
  <c r="A36" i="10"/>
  <c r="A34" i="8"/>
  <c r="A8" i="10"/>
  <c r="A6" i="8"/>
  <c r="A15" i="10"/>
  <c r="A13" i="8"/>
  <c r="A22" i="10"/>
  <c r="A20" i="8"/>
  <c r="A24" i="10"/>
  <c r="A22" i="8"/>
  <c r="A31" i="10"/>
  <c r="A29" i="8"/>
  <c r="F60" i="10"/>
  <c r="E60" i="10"/>
  <c r="I60" i="10"/>
  <c r="H60" i="10"/>
  <c r="Q60" i="10"/>
  <c r="G45" i="10"/>
  <c r="G44" i="10"/>
  <c r="E44" i="10"/>
  <c r="E45" i="10"/>
  <c r="S45" i="10"/>
  <c r="S44" i="10"/>
  <c r="N44" i="10"/>
  <c r="N45" i="10"/>
  <c r="H45" i="10"/>
  <c r="H44" i="10"/>
  <c r="Q44" i="10"/>
  <c r="Q45" i="10"/>
  <c r="J44" i="10"/>
  <c r="J45" i="10"/>
  <c r="I44" i="10"/>
  <c r="I45" i="10"/>
  <c r="M45" i="10"/>
  <c r="M44" i="10"/>
  <c r="F44" i="10"/>
  <c r="F45" i="10"/>
  <c r="O45" i="10"/>
  <c r="O44" i="10"/>
  <c r="K45" i="10"/>
  <c r="K44" i="10"/>
  <c r="P45" i="10"/>
  <c r="P44" i="10"/>
  <c r="R44" i="10"/>
  <c r="R45" i="10"/>
  <c r="L44" i="10"/>
  <c r="L45" i="10"/>
  <c r="O60" i="10" l="1"/>
  <c r="L60" i="10"/>
  <c r="G60" i="10"/>
  <c r="R60" i="10"/>
  <c r="S60" i="10"/>
  <c r="M60" i="10"/>
  <c r="N60" i="10"/>
  <c r="P60" i="10"/>
  <c r="J60" i="10"/>
  <c r="J59" i="10"/>
  <c r="N59" i="10"/>
  <c r="N46" i="10" s="1"/>
  <c r="F59" i="10"/>
  <c r="F46" i="10" s="1"/>
  <c r="G59" i="10"/>
  <c r="Q59" i="10"/>
  <c r="Q46" i="10" s="1"/>
  <c r="R59" i="10"/>
  <c r="S59" i="10"/>
  <c r="M59" i="10"/>
  <c r="E59" i="10"/>
  <c r="E46" i="10" s="1"/>
  <c r="O59" i="10"/>
  <c r="O46" i="10" s="1"/>
  <c r="P59" i="10"/>
  <c r="P46" i="10" s="1"/>
  <c r="I59" i="10"/>
  <c r="I46" i="10" s="1"/>
  <c r="H59" i="10"/>
  <c r="H46" i="10" s="1"/>
  <c r="L59" i="10"/>
  <c r="K59" i="10"/>
  <c r="K46" i="10" s="1"/>
  <c r="S46" i="10" l="1"/>
  <c r="G46" i="10"/>
  <c r="L46" i="10"/>
  <c r="J46" i="10"/>
  <c r="M46" i="10"/>
  <c r="R46" i="10"/>
</calcChain>
</file>

<file path=xl/sharedStrings.xml><?xml version="1.0" encoding="utf-8"?>
<sst xmlns="http://schemas.openxmlformats.org/spreadsheetml/2006/main" count="92" uniqueCount="44">
  <si>
    <t>Controle para a caixa de seleção do painel</t>
  </si>
  <si>
    <t>Elaboração: CEPERJ/CEEP/COPE e COGIN</t>
  </si>
  <si>
    <t>Elaboração e cálculos de variações: CEPERJ/CEEP/COPE e COGIN</t>
  </si>
  <si>
    <t>Variações %</t>
  </si>
  <si>
    <t>mês</t>
  </si>
  <si>
    <t>Mês escolhido</t>
  </si>
  <si>
    <t>Mês anterior</t>
  </si>
  <si>
    <t>Mesmo mês escolhido, para o ano anterior</t>
  </si>
  <si>
    <t>Acumulado do ano escolhido</t>
  </si>
  <si>
    <t>Acumulado do ano anterior</t>
  </si>
  <si>
    <t>Escolha o ano/mês clicando abaixo</t>
  </si>
  <si>
    <t>Escolha o ano/mês de referência das variações clicando abaixo</t>
  </si>
  <si>
    <t>Indicador de Imposto sobre Circulação de Mercadorias e Serviços - ICMS do Estado do Rio de Janeiro</t>
  </si>
  <si>
    <t xml:space="preserve"> Atividades Econômicas, por setor (em reais) </t>
  </si>
  <si>
    <t>anomes</t>
  </si>
  <si>
    <t>ano</t>
  </si>
  <si>
    <t>competencia</t>
  </si>
  <si>
    <t>Período: 2017 a 2019</t>
  </si>
  <si>
    <t>Períodos</t>
  </si>
  <si>
    <t>lista_industria</t>
  </si>
  <si>
    <t>lista_comercio</t>
  </si>
  <si>
    <t>lista_serviços</t>
  </si>
  <si>
    <t>Comércio varejista total com ajuste</t>
  </si>
  <si>
    <t>Comércio varejista total sem ajuste</t>
  </si>
  <si>
    <t>Combustíveis e lubrificantes</t>
  </si>
  <si>
    <t>Hipermercados, supermercados, produtos alimentícios, bebidas e fumo</t>
  </si>
  <si>
    <t>Hipermercados e supermercados</t>
  </si>
  <si>
    <t>Tecidos, vestuário e calçados</t>
  </si>
  <si>
    <t>Móveis e eletrodomésticos</t>
  </si>
  <si>
    <t>Móveis</t>
  </si>
  <si>
    <t>Eletrodomésticos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</si>
  <si>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</si>
  <si>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</si>
  <si>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</si>
  <si>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</si>
  <si>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Vendas de veículos, motos e peças</t>
  </si>
  <si>
    <t>Vendas de Material de construção</t>
  </si>
  <si>
    <t>Atividades Comerciais</t>
  </si>
  <si>
    <t>PAINEL DAS VARIAÇÕES DE ATIVIDADES COMERCIAIS - ESTADO DO RIO DE JANEIRO</t>
  </si>
  <si>
    <t>Indicador de Atividades Comerciais do Estado do Rio de Janeiro</t>
  </si>
  <si>
    <t>Índice de volume de vendas no comércio varejista (Número-índice)</t>
  </si>
  <si>
    <t>Atividadades Comerciais (CNAE 2.0)</t>
  </si>
  <si>
    <t>Atividades Comerciais ( (CNAE 2.0) - Índice de volume de vendas no comércio varejista (Número-índice)</t>
  </si>
  <si>
    <t>Fonte: IBGE - Pesquisa Industrial Mensal - Produção Física.  Base : media de 2012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</si>
</sst>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[$-416]mmm\-yy;@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rgb="FF333333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6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2" borderId="0" xfId="0" applyFill="1"/>
    <xf numFmtId="17" fontId="0" fillId="0" borderId="0" xfId="0" applyNumberFormat="1"/>
    <xf numFmtId="17" fontId="0" fillId="2" borderId="0" xfId="0" applyNumberFormat="1" applyFill="1"/>
    <xf numFmtId="0" fontId="7" fillId="0" borderId="0" xfId="0" applyFont="1"/>
    <xf numFmtId="0" fontId="10" fillId="0" borderId="0" xfId="0" applyFont="1"/>
    <xf numFmtId="2" fontId="1" fillId="0" borderId="0" xfId="0" applyNumberFormat="1" applyFont="1" applyBorder="1"/>
    <xf numFmtId="0" fontId="0" fillId="0" borderId="0" xfId="0" applyFont="1"/>
    <xf numFmtId="0" fontId="14" fillId="0" borderId="0" xfId="0" applyFont="1"/>
    <xf numFmtId="0" fontId="0" fillId="9" borderId="12" xfId="0" applyFont="1" applyFill="1" applyBorder="1" applyAlignment="1">
      <alignment horizontal="left" vertical="top" wrapText="1"/>
    </xf>
    <xf numFmtId="0" fontId="19" fillId="12" borderId="11" xfId="1" applyFont="1" applyFill="1" applyBorder="1" applyAlignment="1">
      <alignment horizontal="left" vertical="center"/>
    </xf>
    <xf numFmtId="0" fontId="20" fillId="12" borderId="7" xfId="0" applyFont="1" applyFill="1" applyBorder="1"/>
    <xf numFmtId="0" fontId="20" fillId="12" borderId="8" xfId="0" applyFont="1" applyFill="1" applyBorder="1"/>
    <xf numFmtId="0" fontId="20" fillId="7" borderId="12" xfId="0" applyFont="1" applyFill="1" applyBorder="1" applyAlignment="1">
      <alignment horizontal="left" vertical="top" wrapText="1"/>
    </xf>
    <xf numFmtId="4" fontId="20" fillId="7" borderId="0" xfId="0" applyNumberFormat="1" applyFont="1" applyFill="1" applyBorder="1" applyAlignment="1">
      <alignment horizontal="right" vertical="top"/>
    </xf>
    <xf numFmtId="4" fontId="20" fillId="7" borderId="4" xfId="0" applyNumberFormat="1" applyFont="1" applyFill="1" applyBorder="1" applyAlignment="1">
      <alignment horizontal="right" vertical="top"/>
    </xf>
    <xf numFmtId="2" fontId="21" fillId="7" borderId="12" xfId="0" applyNumberFormat="1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left" vertical="top" wrapText="1"/>
    </xf>
    <xf numFmtId="4" fontId="20" fillId="7" borderId="5" xfId="0" applyNumberFormat="1" applyFont="1" applyFill="1" applyBorder="1" applyAlignment="1">
      <alignment horizontal="right" vertical="top"/>
    </xf>
    <xf numFmtId="4" fontId="20" fillId="7" borderId="6" xfId="0" applyNumberFormat="1" applyFont="1" applyFill="1" applyBorder="1" applyAlignment="1">
      <alignment horizontal="right" vertical="top"/>
    </xf>
    <xf numFmtId="0" fontId="21" fillId="4" borderId="0" xfId="1" applyFont="1" applyFill="1"/>
    <xf numFmtId="17" fontId="23" fillId="4" borderId="0" xfId="1" applyNumberFormat="1" applyFont="1" applyFill="1" applyBorder="1" applyAlignment="1">
      <alignment horizontal="center"/>
    </xf>
    <xf numFmtId="2" fontId="20" fillId="0" borderId="0" xfId="0" applyNumberFormat="1" applyFont="1"/>
    <xf numFmtId="0" fontId="10" fillId="0" borderId="0" xfId="0" applyFont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7" fontId="1" fillId="0" borderId="0" xfId="0" applyNumberFormat="1" applyFont="1" applyBorder="1"/>
    <xf numFmtId="43" fontId="25" fillId="0" borderId="0" xfId="2" applyFont="1" applyFill="1" applyBorder="1" applyAlignment="1">
      <alignment horizontal="right" vertical="center" indent="1"/>
    </xf>
    <xf numFmtId="17" fontId="1" fillId="0" borderId="0" xfId="0" applyNumberFormat="1" applyFont="1"/>
    <xf numFmtId="164" fontId="2" fillId="0" borderId="0" xfId="0" applyNumberFormat="1" applyFont="1" applyFill="1" applyBorder="1" applyAlignment="1">
      <alignment horizontal="right" vertical="center"/>
    </xf>
    <xf numFmtId="2" fontId="1" fillId="0" borderId="17" xfId="0" applyNumberFormat="1" applyFont="1" applyBorder="1"/>
    <xf numFmtId="2" fontId="1" fillId="0" borderId="18" xfId="0" applyNumberFormat="1" applyFont="1" applyBorder="1"/>
    <xf numFmtId="164" fontId="1" fillId="0" borderId="0" xfId="0" applyNumberFormat="1" applyFont="1"/>
    <xf numFmtId="0" fontId="24" fillId="0" borderId="0" xfId="0" applyFont="1" applyFill="1" applyBorder="1" applyAlignment="1">
      <alignment vertical="center"/>
    </xf>
    <xf numFmtId="3" fontId="10" fillId="5" borderId="0" xfId="0" applyNumberFormat="1" applyFont="1" applyFill="1"/>
    <xf numFmtId="0" fontId="6" fillId="9" borderId="2" xfId="0" applyFont="1" applyFill="1" applyBorder="1" applyAlignment="1">
      <alignment horizontal="center" vertical="center" wrapText="1"/>
    </xf>
    <xf numFmtId="17" fontId="6" fillId="9" borderId="14" xfId="1" applyNumberFormat="1" applyFont="1" applyFill="1" applyBorder="1" applyAlignment="1">
      <alignment horizontal="center" vertical="center"/>
    </xf>
    <xf numFmtId="17" fontId="6" fillId="9" borderId="14" xfId="1" applyNumberFormat="1" applyFont="1" applyFill="1" applyBorder="1" applyAlignment="1">
      <alignment horizontal="center" vertical="center" wrapText="1"/>
    </xf>
    <xf numFmtId="0" fontId="17" fillId="4" borderId="0" xfId="1" applyFont="1" applyFill="1"/>
    <xf numFmtId="0" fontId="26" fillId="4" borderId="0" xfId="1" applyFont="1" applyFill="1" applyBorder="1" applyAlignment="1"/>
    <xf numFmtId="17" fontId="27" fillId="4" borderId="0" xfId="1" applyNumberFormat="1" applyFont="1" applyFill="1" applyBorder="1" applyAlignment="1">
      <alignment horizontal="center"/>
    </xf>
    <xf numFmtId="43" fontId="17" fillId="0" borderId="0" xfId="2" applyFont="1" applyFill="1" applyBorder="1" applyAlignment="1">
      <alignment horizontal="right" vertical="center" indent="1"/>
    </xf>
    <xf numFmtId="4" fontId="5" fillId="9" borderId="0" xfId="2" applyNumberFormat="1" applyFont="1" applyFill="1" applyBorder="1" applyAlignment="1">
      <alignment horizontal="right" vertical="top" wrapText="1"/>
    </xf>
    <xf numFmtId="4" fontId="5" fillId="9" borderId="0" xfId="0" applyNumberFormat="1" applyFont="1" applyFill="1" applyBorder="1" applyAlignment="1">
      <alignment horizontal="right" vertical="top" wrapText="1"/>
    </xf>
    <xf numFmtId="4" fontId="5" fillId="9" borderId="4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0" fillId="4" borderId="0" xfId="0" applyFill="1"/>
    <xf numFmtId="17" fontId="0" fillId="4" borderId="0" xfId="0" applyNumberFormat="1" applyFill="1"/>
    <xf numFmtId="167" fontId="0" fillId="0" borderId="0" xfId="0" applyNumberFormat="1"/>
    <xf numFmtId="167" fontId="0" fillId="4" borderId="0" xfId="0" applyNumberFormat="1" applyFill="1"/>
    <xf numFmtId="0" fontId="9" fillId="4" borderId="0" xfId="0" applyFont="1" applyFill="1"/>
    <xf numFmtId="17" fontId="4" fillId="4" borderId="0" xfId="0" applyNumberFormat="1" applyFont="1" applyFill="1"/>
    <xf numFmtId="0" fontId="0" fillId="4" borderId="0" xfId="0" applyFill="1" applyAlignment="1">
      <alignment horizontal="right"/>
    </xf>
    <xf numFmtId="17" fontId="11" fillId="2" borderId="2" xfId="1" applyNumberFormat="1" applyFont="1" applyFill="1" applyBorder="1" applyAlignment="1">
      <alignment horizontal="center" vertical="center"/>
    </xf>
    <xf numFmtId="166" fontId="10" fillId="2" borderId="2" xfId="2" applyNumberFormat="1" applyFont="1" applyFill="1" applyBorder="1" applyAlignment="1">
      <alignment horizontal="right" vertical="top"/>
    </xf>
    <xf numFmtId="17" fontId="11" fillId="2" borderId="2" xfId="1" applyNumberFormat="1" applyFont="1" applyFill="1" applyBorder="1" applyAlignment="1">
      <alignment horizontal="center" vertical="center" wrapText="1"/>
    </xf>
    <xf numFmtId="17" fontId="1" fillId="6" borderId="11" xfId="0" applyNumberFormat="1" applyFont="1" applyFill="1" applyBorder="1" applyAlignment="1">
      <alignment horizontal="left"/>
    </xf>
    <xf numFmtId="4" fontId="10" fillId="6" borderId="7" xfId="0" applyNumberFormat="1" applyFont="1" applyFill="1" applyBorder="1"/>
    <xf numFmtId="17" fontId="1" fillId="6" borderId="12" xfId="0" applyNumberFormat="1" applyFont="1" applyFill="1" applyBorder="1" applyAlignment="1">
      <alignment horizontal="left"/>
    </xf>
    <xf numFmtId="4" fontId="10" fillId="6" borderId="0" xfId="0" applyNumberFormat="1" applyFont="1" applyFill="1" applyBorder="1"/>
    <xf numFmtId="17" fontId="1" fillId="6" borderId="13" xfId="0" applyNumberFormat="1" applyFont="1" applyFill="1" applyBorder="1" applyAlignment="1">
      <alignment horizontal="left"/>
    </xf>
    <xf numFmtId="4" fontId="10" fillId="6" borderId="5" xfId="0" applyNumberFormat="1" applyFont="1" applyFill="1" applyBorder="1"/>
    <xf numFmtId="0" fontId="22" fillId="4" borderId="0" xfId="1" applyFont="1" applyFill="1" applyBorder="1" applyAlignment="1"/>
    <xf numFmtId="0" fontId="22" fillId="4" borderId="0" xfId="1" applyFont="1" applyFill="1" applyBorder="1" applyAlignment="1">
      <alignment horizontal="left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8" fillId="0" borderId="0" xfId="0" applyFont="1" applyBorder="1"/>
    <xf numFmtId="164" fontId="12" fillId="0" borderId="17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18" xfId="0" applyNumberFormat="1" applyFont="1" applyBorder="1" applyAlignment="1">
      <alignment horizontal="right" vertical="center"/>
    </xf>
    <xf numFmtId="164" fontId="28" fillId="0" borderId="0" xfId="0" applyNumberFormat="1" applyFont="1" applyBorder="1"/>
    <xf numFmtId="165" fontId="10" fillId="5" borderId="0" xfId="0" applyNumberFormat="1" applyFont="1" applyFill="1"/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10" fillId="6" borderId="8" xfId="0" applyNumberFormat="1" applyFont="1" applyFill="1" applyBorder="1"/>
    <xf numFmtId="4" fontId="10" fillId="6" borderId="4" xfId="0" applyNumberFormat="1" applyFont="1" applyFill="1" applyBorder="1"/>
    <xf numFmtId="4" fontId="10" fillId="6" borderId="6" xfId="0" applyNumberFormat="1" applyFont="1" applyFill="1" applyBorder="1"/>
    <xf numFmtId="0" fontId="16" fillId="13" borderId="11" xfId="0" applyFont="1" applyFill="1" applyBorder="1" applyAlignment="1">
      <alignment horizontal="left" vertical="top" wrapText="1"/>
    </xf>
    <xf numFmtId="4" fontId="16" fillId="13" borderId="7" xfId="2" applyNumberFormat="1" applyFont="1" applyFill="1" applyBorder="1" applyAlignment="1">
      <alignment horizontal="right" vertical="top" wrapText="1"/>
    </xf>
    <xf numFmtId="4" fontId="16" fillId="13" borderId="7" xfId="0" applyNumberFormat="1" applyFont="1" applyFill="1" applyBorder="1" applyAlignment="1">
      <alignment horizontal="right" vertical="top" wrapText="1"/>
    </xf>
    <xf numFmtId="4" fontId="16" fillId="13" borderId="8" xfId="0" applyNumberFormat="1" applyFont="1" applyFill="1" applyBorder="1" applyAlignment="1">
      <alignment horizontal="right" vertical="top" wrapText="1"/>
    </xf>
    <xf numFmtId="0" fontId="16" fillId="13" borderId="12" xfId="0" applyFont="1" applyFill="1" applyBorder="1" applyAlignment="1">
      <alignment horizontal="left" vertical="top" wrapText="1"/>
    </xf>
    <xf numFmtId="4" fontId="16" fillId="13" borderId="0" xfId="2" applyNumberFormat="1" applyFont="1" applyFill="1" applyBorder="1" applyAlignment="1">
      <alignment horizontal="right" vertical="top" wrapText="1"/>
    </xf>
    <xf numFmtId="4" fontId="16" fillId="13" borderId="0" xfId="0" applyNumberFormat="1" applyFont="1" applyFill="1" applyBorder="1" applyAlignment="1">
      <alignment horizontal="right" vertical="top" wrapText="1"/>
    </xf>
    <xf numFmtId="4" fontId="16" fillId="13" borderId="4" xfId="0" applyNumberFormat="1" applyFont="1" applyFill="1" applyBorder="1" applyAlignment="1">
      <alignment horizontal="right" vertical="top" wrapText="1"/>
    </xf>
    <xf numFmtId="0" fontId="16" fillId="13" borderId="13" xfId="0" applyFont="1" applyFill="1" applyBorder="1" applyAlignment="1">
      <alignment horizontal="left" vertical="top" wrapText="1"/>
    </xf>
    <xf numFmtId="4" fontId="16" fillId="13" borderId="5" xfId="2" applyNumberFormat="1" applyFont="1" applyFill="1" applyBorder="1" applyAlignment="1">
      <alignment horizontal="right" vertical="top" wrapText="1"/>
    </xf>
    <xf numFmtId="4" fontId="16" fillId="13" borderId="5" xfId="0" applyNumberFormat="1" applyFont="1" applyFill="1" applyBorder="1" applyAlignment="1">
      <alignment horizontal="right" vertical="top" wrapText="1"/>
    </xf>
    <xf numFmtId="4" fontId="16" fillId="13" borderId="6" xfId="0" applyNumberFormat="1" applyFont="1" applyFill="1" applyBorder="1" applyAlignment="1">
      <alignment horizontal="right" vertical="top" wrapText="1"/>
    </xf>
    <xf numFmtId="0" fontId="8" fillId="4" borderId="0" xfId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17" fontId="0" fillId="11" borderId="13" xfId="0" applyNumberFormat="1" applyFill="1" applyBorder="1" applyAlignment="1">
      <alignment horizontal="center" vertical="center"/>
    </xf>
    <xf numFmtId="17" fontId="0" fillId="11" borderId="5" xfId="0" applyNumberFormat="1" applyFill="1" applyBorder="1" applyAlignment="1">
      <alignment horizontal="center" vertical="center"/>
    </xf>
    <xf numFmtId="17" fontId="0" fillId="11" borderId="6" xfId="0" applyNumberFormat="1" applyFill="1" applyBorder="1" applyAlignment="1">
      <alignment horizontal="center" vertical="center"/>
    </xf>
    <xf numFmtId="17" fontId="6" fillId="9" borderId="14" xfId="1" applyNumberFormat="1" applyFont="1" applyFill="1" applyBorder="1" applyAlignment="1">
      <alignment horizontal="center" vertical="center"/>
    </xf>
    <xf numFmtId="17" fontId="6" fillId="9" borderId="16" xfId="1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7" fontId="6" fillId="9" borderId="2" xfId="1" applyNumberFormat="1" applyFont="1" applyFill="1" applyBorder="1" applyAlignment="1">
      <alignment horizontal="center" vertical="center" wrapText="1"/>
    </xf>
    <xf numFmtId="17" fontId="6" fillId="9" borderId="14" xfId="1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17" fontId="0" fillId="11" borderId="12" xfId="0" applyNumberFormat="1" applyFill="1" applyBorder="1" applyAlignment="1">
      <alignment horizontal="center" vertical="center"/>
    </xf>
    <xf numFmtId="17" fontId="0" fillId="11" borderId="0" xfId="0" applyNumberFormat="1" applyFill="1" applyBorder="1" applyAlignment="1">
      <alignment horizontal="center" vertical="center"/>
    </xf>
  </cellXfs>
  <cellStyles count="3">
    <cellStyle name="Normal" xfId="0" builtinId="0"/>
    <cellStyle name="Normal 5" xfId="1"/>
    <cellStyle name="Vírgula" xfId="2" builtinId="3"/>
  </cellStyles>
  <dxfs count="0"/>
  <tableStyles count="0" defaultTableStyle="TableStyleMedium2" defaultPivotStyle="PivotStyleLight16"/>
  <colors>
    <mruColors>
      <color rgb="FFCAE2BC"/>
      <color rgb="FFBAD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topLeftCell="A3" workbookViewId="0">
      <selection activeCell="I41" sqref="I41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E2" t="s">
        <v>19</v>
      </c>
      <c r="H2" t="s">
        <v>20</v>
      </c>
      <c r="J2" t="s">
        <v>21</v>
      </c>
    </row>
    <row r="3" spans="1:10" x14ac:dyDescent="0.25">
      <c r="A3" s="2"/>
      <c r="B3" s="4"/>
      <c r="D3" s="3"/>
      <c r="E3" s="4">
        <v>42736</v>
      </c>
      <c r="F3" s="2"/>
      <c r="G3" s="2"/>
      <c r="H3" s="4">
        <v>42736</v>
      </c>
      <c r="J3" s="4">
        <v>42736</v>
      </c>
    </row>
    <row r="4" spans="1:10" x14ac:dyDescent="0.25">
      <c r="A4" s="2"/>
      <c r="B4" s="4"/>
      <c r="E4" s="4">
        <v>42767</v>
      </c>
      <c r="F4" s="2"/>
      <c r="G4" s="2"/>
      <c r="H4" s="4">
        <v>42767</v>
      </c>
      <c r="J4" s="4">
        <v>42767</v>
      </c>
    </row>
    <row r="5" spans="1:10" x14ac:dyDescent="0.25">
      <c r="A5" s="2"/>
      <c r="B5" s="4"/>
      <c r="E5" s="4">
        <v>42795</v>
      </c>
      <c r="H5" s="4">
        <v>42795</v>
      </c>
      <c r="J5" s="4">
        <v>42795</v>
      </c>
    </row>
    <row r="6" spans="1:10" x14ac:dyDescent="0.25">
      <c r="A6" s="2"/>
      <c r="B6" s="4"/>
      <c r="E6" s="4">
        <v>42826</v>
      </c>
      <c r="H6" s="4">
        <v>42826</v>
      </c>
      <c r="J6" s="4">
        <v>42826</v>
      </c>
    </row>
    <row r="7" spans="1:10" x14ac:dyDescent="0.25">
      <c r="A7" s="2"/>
      <c r="B7" s="4"/>
      <c r="E7" s="4">
        <v>42856</v>
      </c>
      <c r="H7" s="4">
        <v>42856</v>
      </c>
      <c r="J7" s="4">
        <v>42856</v>
      </c>
    </row>
    <row r="8" spans="1:10" x14ac:dyDescent="0.25">
      <c r="A8" s="2"/>
      <c r="B8" s="4"/>
      <c r="E8" s="4">
        <v>42887</v>
      </c>
      <c r="H8" s="4">
        <v>42887</v>
      </c>
      <c r="J8" s="4">
        <v>42887</v>
      </c>
    </row>
    <row r="9" spans="1:10" x14ac:dyDescent="0.25">
      <c r="A9" s="2"/>
      <c r="B9" s="4"/>
      <c r="E9" s="4">
        <v>42917</v>
      </c>
      <c r="H9" s="4">
        <v>42917</v>
      </c>
      <c r="J9" s="4">
        <v>42917</v>
      </c>
    </row>
    <row r="10" spans="1:10" x14ac:dyDescent="0.25">
      <c r="A10" s="2"/>
      <c r="B10" s="4"/>
      <c r="E10" s="4">
        <v>42948</v>
      </c>
      <c r="H10" s="4">
        <v>42948</v>
      </c>
      <c r="J10" s="4">
        <v>42948</v>
      </c>
    </row>
    <row r="11" spans="1:10" x14ac:dyDescent="0.25">
      <c r="A11" s="2"/>
      <c r="B11" s="4"/>
      <c r="E11" s="4">
        <v>42979</v>
      </c>
      <c r="H11" s="4">
        <v>42979</v>
      </c>
      <c r="J11" s="4">
        <v>42979</v>
      </c>
    </row>
    <row r="12" spans="1:10" x14ac:dyDescent="0.25">
      <c r="A12" s="2"/>
      <c r="B12" s="4"/>
      <c r="E12" s="4">
        <v>43009</v>
      </c>
      <c r="H12" s="4">
        <v>43009</v>
      </c>
      <c r="J12" s="4">
        <v>43009</v>
      </c>
    </row>
    <row r="13" spans="1:10" x14ac:dyDescent="0.25">
      <c r="A13" s="2"/>
      <c r="B13" s="4"/>
      <c r="E13" s="4">
        <v>43040</v>
      </c>
      <c r="H13" s="4">
        <v>43040</v>
      </c>
      <c r="J13" s="4">
        <v>43040</v>
      </c>
    </row>
    <row r="14" spans="1:10" x14ac:dyDescent="0.25">
      <c r="A14" s="2"/>
      <c r="B14" s="4"/>
      <c r="E14" s="4">
        <v>43070</v>
      </c>
      <c r="H14" s="4">
        <v>43070</v>
      </c>
      <c r="J14" s="4">
        <v>43070</v>
      </c>
    </row>
    <row r="15" spans="1:10" x14ac:dyDescent="0.25">
      <c r="A15" s="2"/>
      <c r="B15" s="4"/>
      <c r="E15" s="4">
        <v>43101</v>
      </c>
      <c r="H15" s="4">
        <v>43101</v>
      </c>
      <c r="J15" s="4">
        <v>43101</v>
      </c>
    </row>
    <row r="16" spans="1:10" x14ac:dyDescent="0.25">
      <c r="A16" s="2"/>
      <c r="B16" s="4"/>
      <c r="E16" s="4">
        <v>43132</v>
      </c>
      <c r="H16" s="4">
        <v>43132</v>
      </c>
      <c r="J16" s="4">
        <v>43132</v>
      </c>
    </row>
    <row r="17" spans="1:10" x14ac:dyDescent="0.25">
      <c r="A17" s="2"/>
      <c r="B17" s="4"/>
      <c r="E17" s="4">
        <v>43160</v>
      </c>
      <c r="H17" s="4">
        <v>43160</v>
      </c>
      <c r="J17" s="4">
        <v>43160</v>
      </c>
    </row>
    <row r="18" spans="1:10" x14ac:dyDescent="0.25">
      <c r="A18" s="2"/>
      <c r="B18" s="4"/>
      <c r="E18" s="4">
        <v>43191</v>
      </c>
      <c r="H18" s="4">
        <v>43191</v>
      </c>
      <c r="J18" s="4">
        <v>43191</v>
      </c>
    </row>
    <row r="19" spans="1:10" x14ac:dyDescent="0.25">
      <c r="A19" s="2"/>
      <c r="B19" s="4"/>
      <c r="E19" s="4">
        <v>43221</v>
      </c>
      <c r="H19" s="4">
        <v>43221</v>
      </c>
      <c r="J19" s="4">
        <v>43221</v>
      </c>
    </row>
    <row r="20" spans="1:10" x14ac:dyDescent="0.25">
      <c r="A20" s="2"/>
      <c r="B20" s="4"/>
      <c r="E20" s="4">
        <v>43252</v>
      </c>
      <c r="H20" s="4">
        <v>43252</v>
      </c>
      <c r="J20" s="4">
        <v>43252</v>
      </c>
    </row>
    <row r="21" spans="1:10" x14ac:dyDescent="0.25">
      <c r="A21" s="2"/>
      <c r="B21" s="4"/>
      <c r="E21" s="4">
        <v>43282</v>
      </c>
      <c r="H21" s="4">
        <v>43282</v>
      </c>
      <c r="J21" s="4">
        <v>43282</v>
      </c>
    </row>
    <row r="22" spans="1:10" x14ac:dyDescent="0.25">
      <c r="A22" s="2"/>
      <c r="B22" s="4"/>
      <c r="E22" s="4">
        <v>43313</v>
      </c>
      <c r="H22" s="4">
        <v>43313</v>
      </c>
      <c r="J22" s="4">
        <v>43313</v>
      </c>
    </row>
    <row r="23" spans="1:10" x14ac:dyDescent="0.25">
      <c r="A23" s="2"/>
      <c r="B23" s="4"/>
      <c r="E23" s="4">
        <v>43344</v>
      </c>
      <c r="H23" s="4">
        <v>43344</v>
      </c>
      <c r="J23" s="4">
        <v>43344</v>
      </c>
    </row>
    <row r="24" spans="1:10" x14ac:dyDescent="0.25">
      <c r="A24" s="2"/>
      <c r="B24" s="4"/>
      <c r="E24" s="4">
        <v>43374</v>
      </c>
      <c r="H24" s="4">
        <v>43374</v>
      </c>
      <c r="J24" s="4">
        <v>43374</v>
      </c>
    </row>
    <row r="25" spans="1:10" x14ac:dyDescent="0.25">
      <c r="A25" s="2"/>
      <c r="B25" s="4"/>
      <c r="E25" s="4">
        <v>43405</v>
      </c>
      <c r="H25" s="4">
        <v>43405</v>
      </c>
      <c r="J25" s="4">
        <v>43405</v>
      </c>
    </row>
    <row r="26" spans="1:10" x14ac:dyDescent="0.25">
      <c r="A26" s="2"/>
      <c r="B26" s="4"/>
      <c r="E26" s="4">
        <v>43435</v>
      </c>
      <c r="H26" s="4">
        <v>43435</v>
      </c>
      <c r="J26" s="4">
        <v>43435</v>
      </c>
    </row>
    <row r="27" spans="1:10" x14ac:dyDescent="0.25">
      <c r="A27" s="2"/>
      <c r="B27" s="4"/>
      <c r="E27" s="4">
        <v>43466</v>
      </c>
      <c r="H27" s="4">
        <v>43466</v>
      </c>
      <c r="J27" s="4">
        <v>43466</v>
      </c>
    </row>
    <row r="28" spans="1:10" x14ac:dyDescent="0.25">
      <c r="A28" s="2"/>
      <c r="B28" s="4"/>
      <c r="E28" s="4">
        <v>43497</v>
      </c>
      <c r="H28" s="4">
        <v>43497</v>
      </c>
      <c r="J28" s="4">
        <v>43497</v>
      </c>
    </row>
    <row r="29" spans="1:10" x14ac:dyDescent="0.25">
      <c r="A29" s="2"/>
      <c r="B29" s="4"/>
      <c r="E29" s="4">
        <v>43525</v>
      </c>
      <c r="H29" s="4">
        <v>43525</v>
      </c>
      <c r="J29" s="4">
        <v>43525</v>
      </c>
    </row>
    <row r="30" spans="1:10" x14ac:dyDescent="0.25">
      <c r="A30" s="2"/>
      <c r="B30" s="4"/>
      <c r="E30" s="4">
        <v>43556</v>
      </c>
      <c r="H30" s="4">
        <v>43556</v>
      </c>
      <c r="J30" s="4">
        <v>43556</v>
      </c>
    </row>
    <row r="31" spans="1:10" x14ac:dyDescent="0.25">
      <c r="A31" s="2"/>
      <c r="B31" s="4"/>
      <c r="E31" s="4">
        <v>43586</v>
      </c>
      <c r="H31" s="4">
        <v>43586</v>
      </c>
      <c r="J31" s="4">
        <v>43586</v>
      </c>
    </row>
    <row r="32" spans="1:10" x14ac:dyDescent="0.25">
      <c r="A32" s="2"/>
      <c r="B32" s="4"/>
      <c r="E32" s="4">
        <v>43617</v>
      </c>
      <c r="H32" s="4">
        <v>43617</v>
      </c>
      <c r="J32" s="4">
        <v>43617</v>
      </c>
    </row>
    <row r="33" spans="1:10" x14ac:dyDescent="0.25">
      <c r="A33" s="2"/>
      <c r="B33" s="4"/>
      <c r="E33" s="4">
        <v>43647</v>
      </c>
      <c r="H33" s="4">
        <v>43647</v>
      </c>
      <c r="J33" s="4">
        <v>43647</v>
      </c>
    </row>
    <row r="34" spans="1:10" x14ac:dyDescent="0.25">
      <c r="A34" s="2"/>
      <c r="B34" s="4"/>
      <c r="E34" s="4">
        <v>43678</v>
      </c>
      <c r="H34" s="4">
        <v>43678</v>
      </c>
      <c r="J34" s="4">
        <v>43678</v>
      </c>
    </row>
    <row r="35" spans="1:10" x14ac:dyDescent="0.25">
      <c r="A35" s="2"/>
      <c r="B35" s="4"/>
      <c r="E35" s="4">
        <v>43709</v>
      </c>
      <c r="H35" s="4">
        <v>43709</v>
      </c>
      <c r="J35" s="4">
        <v>43709</v>
      </c>
    </row>
    <row r="36" spans="1:10" x14ac:dyDescent="0.25">
      <c r="A36" s="2"/>
      <c r="B36" s="4"/>
      <c r="E36" s="4">
        <v>43739</v>
      </c>
      <c r="H36" s="4">
        <v>43739</v>
      </c>
      <c r="J36" s="4">
        <v>43739</v>
      </c>
    </row>
    <row r="37" spans="1:10" x14ac:dyDescent="0.25">
      <c r="A37" s="2"/>
      <c r="B37" s="4"/>
      <c r="E37" s="4">
        <v>43770</v>
      </c>
      <c r="H37" s="4">
        <v>43770</v>
      </c>
      <c r="J37" s="4">
        <v>43770</v>
      </c>
    </row>
    <row r="38" spans="1:10" x14ac:dyDescent="0.25">
      <c r="A38" s="2"/>
      <c r="B38" s="4"/>
      <c r="E38" s="4">
        <v>43800</v>
      </c>
      <c r="H38" s="4">
        <v>43800</v>
      </c>
      <c r="J38" s="4">
        <v>43800</v>
      </c>
    </row>
    <row r="39" spans="1:10" x14ac:dyDescent="0.25">
      <c r="A39" s="2"/>
      <c r="B39" s="4"/>
      <c r="E39" s="4"/>
      <c r="H39" s="4"/>
    </row>
    <row r="40" spans="1:10" x14ac:dyDescent="0.25">
      <c r="A40" s="2"/>
      <c r="B40" s="4"/>
      <c r="E40" s="4"/>
      <c r="H40" s="4"/>
    </row>
    <row r="41" spans="1:10" x14ac:dyDescent="0.25">
      <c r="A41" s="2"/>
      <c r="B41" s="4"/>
      <c r="E41" s="4"/>
      <c r="H41" s="4"/>
    </row>
    <row r="42" spans="1:10" x14ac:dyDescent="0.25">
      <c r="A42" s="2"/>
      <c r="B42" s="4"/>
      <c r="E42" s="4"/>
      <c r="H42" s="4"/>
    </row>
    <row r="43" spans="1:10" x14ac:dyDescent="0.25">
      <c r="A43" s="2"/>
      <c r="B43" s="4"/>
      <c r="E43" s="4"/>
      <c r="H43" s="4"/>
    </row>
    <row r="44" spans="1:10" x14ac:dyDescent="0.25">
      <c r="A44" s="2"/>
      <c r="B44" s="4"/>
      <c r="E44" s="4"/>
      <c r="H44" s="4"/>
    </row>
    <row r="45" spans="1:10" x14ac:dyDescent="0.25">
      <c r="A45" s="2"/>
      <c r="B45" s="4"/>
    </row>
    <row r="46" spans="1:10" x14ac:dyDescent="0.25">
      <c r="A46" s="2"/>
      <c r="B46" s="4"/>
    </row>
    <row r="47" spans="1:10" x14ac:dyDescent="0.25">
      <c r="A47" s="2"/>
      <c r="B47" s="4"/>
    </row>
    <row r="48" spans="1:10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  <row r="70" spans="1:2" x14ac:dyDescent="0.25">
      <c r="A70" s="2"/>
      <c r="B70" s="4"/>
    </row>
    <row r="71" spans="1:2" x14ac:dyDescent="0.25">
      <c r="A71" s="2"/>
      <c r="B71" s="4"/>
    </row>
    <row r="72" spans="1:2" x14ac:dyDescent="0.25">
      <c r="A72" s="2"/>
      <c r="B72" s="4"/>
    </row>
    <row r="73" spans="1:2" x14ac:dyDescent="0.25">
      <c r="A73" s="2"/>
      <c r="B73" s="4"/>
    </row>
    <row r="74" spans="1:2" x14ac:dyDescent="0.25">
      <c r="A74" s="2"/>
      <c r="B74" s="4"/>
    </row>
    <row r="75" spans="1:2" x14ac:dyDescent="0.25">
      <c r="A75" s="2"/>
      <c r="B75" s="4"/>
    </row>
    <row r="76" spans="1:2" x14ac:dyDescent="0.25">
      <c r="A76" s="2"/>
      <c r="B76" s="4"/>
    </row>
    <row r="77" spans="1:2" x14ac:dyDescent="0.25">
      <c r="A77" s="2"/>
      <c r="B77" s="4"/>
    </row>
    <row r="78" spans="1:2" x14ac:dyDescent="0.25">
      <c r="A78" s="2"/>
      <c r="B78" s="4"/>
    </row>
    <row r="79" spans="1:2" x14ac:dyDescent="0.25">
      <c r="A79" s="2"/>
      <c r="B79" s="4"/>
    </row>
    <row r="80" spans="1:2" x14ac:dyDescent="0.25">
      <c r="A80" s="2"/>
      <c r="B80" s="4"/>
    </row>
    <row r="81" spans="1:2" x14ac:dyDescent="0.25">
      <c r="A81" s="2"/>
      <c r="B81" s="4"/>
    </row>
    <row r="82" spans="1:2" x14ac:dyDescent="0.25">
      <c r="A82" s="2"/>
      <c r="B82" s="4"/>
    </row>
    <row r="83" spans="1:2" x14ac:dyDescent="0.25">
      <c r="A83" s="2"/>
      <c r="B83" s="4"/>
    </row>
    <row r="84" spans="1:2" x14ac:dyDescent="0.25">
      <c r="A84" s="2"/>
      <c r="B84" s="4"/>
    </row>
    <row r="85" spans="1:2" x14ac:dyDescent="0.25">
      <c r="A85" s="2"/>
      <c r="B85" s="4"/>
    </row>
    <row r="86" spans="1:2" x14ac:dyDescent="0.25">
      <c r="A86" s="2"/>
      <c r="B86" s="4"/>
    </row>
    <row r="87" spans="1:2" x14ac:dyDescent="0.25">
      <c r="A87" s="2"/>
      <c r="B87" s="4"/>
    </row>
    <row r="88" spans="1:2" x14ac:dyDescent="0.25">
      <c r="A88" s="2"/>
      <c r="B88" s="4"/>
    </row>
    <row r="89" spans="1:2" x14ac:dyDescent="0.25">
      <c r="A89" s="2"/>
      <c r="B89" s="4"/>
    </row>
    <row r="90" spans="1:2" x14ac:dyDescent="0.25">
      <c r="A90" s="2"/>
      <c r="B90" s="4"/>
    </row>
    <row r="91" spans="1:2" x14ac:dyDescent="0.25">
      <c r="A91" s="2"/>
      <c r="B91" s="4"/>
    </row>
    <row r="92" spans="1:2" x14ac:dyDescent="0.25">
      <c r="A92" s="2"/>
      <c r="B92" s="4"/>
    </row>
    <row r="93" spans="1:2" x14ac:dyDescent="0.25">
      <c r="A93" s="2"/>
      <c r="B93" s="4"/>
    </row>
    <row r="94" spans="1:2" x14ac:dyDescent="0.25">
      <c r="A94" s="2"/>
      <c r="B94" s="4"/>
    </row>
    <row r="95" spans="1:2" x14ac:dyDescent="0.25">
      <c r="A95" s="2"/>
      <c r="B95" s="4"/>
    </row>
    <row r="96" spans="1:2" x14ac:dyDescent="0.25">
      <c r="A96" s="2"/>
      <c r="B96" s="4"/>
    </row>
    <row r="97" spans="1:2" x14ac:dyDescent="0.25">
      <c r="A97" s="2"/>
      <c r="B97" s="4"/>
    </row>
    <row r="98" spans="1:2" x14ac:dyDescent="0.25">
      <c r="A98" s="2"/>
      <c r="B98" s="4"/>
    </row>
    <row r="99" spans="1:2" x14ac:dyDescent="0.25">
      <c r="A99" s="2"/>
      <c r="B99" s="4"/>
    </row>
    <row r="100" spans="1:2" x14ac:dyDescent="0.25">
      <c r="A100" s="2"/>
      <c r="B100" s="4"/>
    </row>
    <row r="101" spans="1:2" x14ac:dyDescent="0.25">
      <c r="A101" s="2"/>
      <c r="B101" s="4"/>
    </row>
    <row r="102" spans="1:2" x14ac:dyDescent="0.25">
      <c r="A102" s="2"/>
      <c r="B102" s="4"/>
    </row>
    <row r="103" spans="1:2" x14ac:dyDescent="0.25">
      <c r="A103" s="2"/>
      <c r="B103" s="4"/>
    </row>
    <row r="104" spans="1:2" x14ac:dyDescent="0.25">
      <c r="A104" s="2"/>
      <c r="B104" s="4"/>
    </row>
    <row r="105" spans="1:2" x14ac:dyDescent="0.25">
      <c r="A105" s="2"/>
      <c r="B105" s="4"/>
    </row>
    <row r="106" spans="1:2" x14ac:dyDescent="0.25">
      <c r="A106" s="2"/>
      <c r="B106" s="4"/>
    </row>
    <row r="107" spans="1:2" x14ac:dyDescent="0.25">
      <c r="A107" s="2"/>
      <c r="B107" s="4"/>
    </row>
    <row r="108" spans="1:2" x14ac:dyDescent="0.25">
      <c r="A108" s="2"/>
      <c r="B108" s="4"/>
    </row>
    <row r="109" spans="1:2" x14ac:dyDescent="0.25">
      <c r="A109" s="2"/>
      <c r="B109" s="4"/>
    </row>
    <row r="110" spans="1:2" x14ac:dyDescent="0.25">
      <c r="A110" s="2"/>
      <c r="B110" s="4"/>
    </row>
    <row r="111" spans="1:2" x14ac:dyDescent="0.25">
      <c r="A111" s="2"/>
      <c r="B111" s="4"/>
    </row>
    <row r="112" spans="1:2" x14ac:dyDescent="0.25">
      <c r="A112" s="2"/>
      <c r="B112" s="4"/>
    </row>
    <row r="113" spans="1:2" x14ac:dyDescent="0.25">
      <c r="A113" s="2"/>
      <c r="B113" s="4"/>
    </row>
    <row r="114" spans="1:2" x14ac:dyDescent="0.25">
      <c r="A114" s="2"/>
      <c r="B114" s="4"/>
    </row>
    <row r="115" spans="1:2" x14ac:dyDescent="0.25">
      <c r="A115" s="2"/>
      <c r="B115" s="4"/>
    </row>
    <row r="116" spans="1:2" x14ac:dyDescent="0.25">
      <c r="A116" s="2"/>
      <c r="B116" s="4"/>
    </row>
    <row r="117" spans="1:2" x14ac:dyDescent="0.25">
      <c r="A117" s="2"/>
      <c r="B117" s="4"/>
    </row>
    <row r="118" spans="1:2" x14ac:dyDescent="0.25">
      <c r="A118" s="2"/>
      <c r="B118" s="4"/>
    </row>
    <row r="119" spans="1:2" x14ac:dyDescent="0.25">
      <c r="A119" s="2"/>
      <c r="B119" s="4"/>
    </row>
    <row r="120" spans="1:2" x14ac:dyDescent="0.25">
      <c r="A120" s="2"/>
      <c r="B120" s="4"/>
    </row>
    <row r="121" spans="1:2" x14ac:dyDescent="0.25">
      <c r="A121" s="2"/>
      <c r="B121" s="4"/>
    </row>
    <row r="122" spans="1:2" x14ac:dyDescent="0.25">
      <c r="A122" s="2"/>
      <c r="B122" s="4"/>
    </row>
    <row r="123" spans="1:2" x14ac:dyDescent="0.25">
      <c r="A123" s="2"/>
      <c r="B123" s="4"/>
    </row>
    <row r="124" spans="1:2" x14ac:dyDescent="0.25">
      <c r="A124" s="2"/>
      <c r="B124" s="4"/>
    </row>
    <row r="125" spans="1:2" x14ac:dyDescent="0.25">
      <c r="A125" s="2"/>
      <c r="B125" s="4"/>
    </row>
    <row r="126" spans="1:2" x14ac:dyDescent="0.25">
      <c r="A126" s="2"/>
      <c r="B126" s="4"/>
    </row>
    <row r="127" spans="1:2" x14ac:dyDescent="0.25">
      <c r="A127" s="2"/>
      <c r="B127" s="4"/>
    </row>
    <row r="128" spans="1:2" x14ac:dyDescent="0.25">
      <c r="A128" s="2"/>
      <c r="B128" s="4"/>
    </row>
    <row r="129" spans="1:2" x14ac:dyDescent="0.25">
      <c r="A129" s="2"/>
      <c r="B129" s="4"/>
    </row>
    <row r="130" spans="1:2" x14ac:dyDescent="0.25">
      <c r="A130" s="2"/>
      <c r="B130" s="4"/>
    </row>
    <row r="131" spans="1:2" x14ac:dyDescent="0.25">
      <c r="A131" s="2"/>
      <c r="B131" s="4"/>
    </row>
    <row r="132" spans="1:2" x14ac:dyDescent="0.25">
      <c r="A132" s="2"/>
      <c r="B132" s="4"/>
    </row>
    <row r="133" spans="1:2" x14ac:dyDescent="0.25">
      <c r="A133" s="2"/>
      <c r="B133" s="4"/>
    </row>
    <row r="134" spans="1:2" x14ac:dyDescent="0.25">
      <c r="A134" s="2"/>
      <c r="B134" s="4"/>
    </row>
    <row r="135" spans="1:2" x14ac:dyDescent="0.25">
      <c r="A135" s="2"/>
      <c r="B135" s="4"/>
    </row>
    <row r="136" spans="1:2" x14ac:dyDescent="0.25">
      <c r="A136" s="2"/>
      <c r="B136" s="4"/>
    </row>
    <row r="137" spans="1:2" x14ac:dyDescent="0.25">
      <c r="A137" s="2"/>
      <c r="B137" s="4"/>
    </row>
    <row r="138" spans="1:2" x14ac:dyDescent="0.25">
      <c r="A138" s="2"/>
      <c r="B138" s="4"/>
    </row>
    <row r="139" spans="1:2" x14ac:dyDescent="0.25">
      <c r="A139" s="2"/>
      <c r="B139" s="4"/>
    </row>
    <row r="140" spans="1:2" x14ac:dyDescent="0.25">
      <c r="A140" s="2"/>
      <c r="B140" s="4"/>
    </row>
    <row r="141" spans="1:2" x14ac:dyDescent="0.25">
      <c r="A141" s="2"/>
      <c r="B141" s="4"/>
    </row>
    <row r="142" spans="1:2" x14ac:dyDescent="0.25">
      <c r="A142" s="2"/>
      <c r="B142" s="4"/>
    </row>
    <row r="143" spans="1:2" x14ac:dyDescent="0.25">
      <c r="A143" s="2"/>
      <c r="B143" s="4"/>
    </row>
    <row r="144" spans="1:2" x14ac:dyDescent="0.25">
      <c r="A144" s="2"/>
      <c r="B144" s="4"/>
    </row>
    <row r="145" spans="1:2" x14ac:dyDescent="0.25">
      <c r="A145" s="2"/>
      <c r="B145" s="4"/>
    </row>
    <row r="146" spans="1:2" x14ac:dyDescent="0.25">
      <c r="A146" s="2"/>
      <c r="B146" s="4"/>
    </row>
    <row r="147" spans="1:2" x14ac:dyDescent="0.25">
      <c r="A147" s="2"/>
      <c r="B147" s="4"/>
    </row>
    <row r="148" spans="1:2" x14ac:dyDescent="0.25">
      <c r="A148" s="2"/>
      <c r="B148" s="4"/>
    </row>
    <row r="149" spans="1:2" x14ac:dyDescent="0.25">
      <c r="A149" s="2"/>
      <c r="B149" s="4"/>
    </row>
    <row r="150" spans="1:2" x14ac:dyDescent="0.25">
      <c r="A150" s="2"/>
      <c r="B150" s="4"/>
    </row>
    <row r="151" spans="1:2" x14ac:dyDescent="0.25">
      <c r="A151" s="2"/>
      <c r="B151" s="4"/>
    </row>
    <row r="152" spans="1:2" x14ac:dyDescent="0.25">
      <c r="A152" s="2"/>
      <c r="B152" s="4"/>
    </row>
    <row r="153" spans="1:2" x14ac:dyDescent="0.25">
      <c r="A153" s="2"/>
      <c r="B153" s="4"/>
    </row>
    <row r="154" spans="1:2" x14ac:dyDescent="0.25">
      <c r="A154" s="2"/>
      <c r="B154" s="4"/>
    </row>
    <row r="155" spans="1:2" x14ac:dyDescent="0.25">
      <c r="A155" s="2"/>
      <c r="B155" s="4"/>
    </row>
    <row r="156" spans="1:2" x14ac:dyDescent="0.25">
      <c r="A156" s="2"/>
      <c r="B156" s="4"/>
    </row>
    <row r="157" spans="1:2" x14ac:dyDescent="0.25">
      <c r="A157" s="2"/>
      <c r="B157" s="4"/>
    </row>
    <row r="158" spans="1:2" x14ac:dyDescent="0.25">
      <c r="A158" s="2"/>
      <c r="B158" s="4"/>
    </row>
    <row r="159" spans="1:2" x14ac:dyDescent="0.25">
      <c r="A159" s="2"/>
      <c r="B159" s="4"/>
    </row>
    <row r="160" spans="1:2" x14ac:dyDescent="0.25">
      <c r="A160" s="2"/>
      <c r="B160" s="4"/>
    </row>
    <row r="161" spans="1:2" x14ac:dyDescent="0.25">
      <c r="A161" s="2"/>
      <c r="B161" s="4"/>
    </row>
    <row r="162" spans="1:2" x14ac:dyDescent="0.25">
      <c r="A162" s="2"/>
      <c r="B162" s="4"/>
    </row>
    <row r="163" spans="1:2" x14ac:dyDescent="0.25">
      <c r="A163" s="2"/>
      <c r="B163" s="4"/>
    </row>
    <row r="164" spans="1:2" x14ac:dyDescent="0.25">
      <c r="A164" s="2"/>
      <c r="B164" s="4"/>
    </row>
    <row r="165" spans="1:2" x14ac:dyDescent="0.25">
      <c r="A165" s="2"/>
      <c r="B165" s="4"/>
    </row>
    <row r="166" spans="1:2" x14ac:dyDescent="0.25">
      <c r="A166" s="2"/>
      <c r="B166" s="4"/>
    </row>
    <row r="167" spans="1:2" x14ac:dyDescent="0.25">
      <c r="A167" s="2"/>
      <c r="B167" s="4"/>
    </row>
    <row r="168" spans="1:2" x14ac:dyDescent="0.25">
      <c r="A168" s="2"/>
      <c r="B168" s="4"/>
    </row>
    <row r="169" spans="1:2" x14ac:dyDescent="0.25">
      <c r="A169" s="2"/>
      <c r="B169" s="4"/>
    </row>
    <row r="170" spans="1:2" x14ac:dyDescent="0.25">
      <c r="A170" s="2"/>
      <c r="B170" s="4"/>
    </row>
    <row r="171" spans="1:2" x14ac:dyDescent="0.25">
      <c r="A171" s="2"/>
      <c r="B171" s="4"/>
    </row>
    <row r="172" spans="1:2" x14ac:dyDescent="0.25">
      <c r="A172" s="2"/>
      <c r="B172" s="4"/>
    </row>
    <row r="173" spans="1:2" x14ac:dyDescent="0.25">
      <c r="A173" s="2"/>
      <c r="B173" s="4"/>
    </row>
    <row r="174" spans="1:2" x14ac:dyDescent="0.25">
      <c r="A174" s="2"/>
      <c r="B174" s="4"/>
    </row>
    <row r="175" spans="1:2" x14ac:dyDescent="0.25">
      <c r="A175" s="2"/>
      <c r="B175" s="4"/>
    </row>
    <row r="176" spans="1:2" x14ac:dyDescent="0.25">
      <c r="A176" s="2"/>
      <c r="B176" s="4"/>
    </row>
    <row r="177" spans="1:2" x14ac:dyDescent="0.25">
      <c r="A177" s="2"/>
      <c r="B177" s="4"/>
    </row>
    <row r="178" spans="1:2" x14ac:dyDescent="0.25">
      <c r="A178" s="2"/>
      <c r="B178" s="4"/>
    </row>
    <row r="179" spans="1:2" x14ac:dyDescent="0.25">
      <c r="A179" s="2"/>
      <c r="B179" s="4"/>
    </row>
    <row r="180" spans="1:2" x14ac:dyDescent="0.25">
      <c r="A180" s="2"/>
      <c r="B180" s="4"/>
    </row>
    <row r="181" spans="1:2" x14ac:dyDescent="0.25">
      <c r="A181" s="2"/>
      <c r="B181" s="4"/>
    </row>
    <row r="182" spans="1:2" x14ac:dyDescent="0.25">
      <c r="A182" s="2"/>
      <c r="B182" s="4"/>
    </row>
    <row r="183" spans="1:2" x14ac:dyDescent="0.25">
      <c r="A183" s="2"/>
      <c r="B183" s="4"/>
    </row>
    <row r="184" spans="1:2" x14ac:dyDescent="0.25">
      <c r="A184" s="2"/>
      <c r="B184" s="4"/>
    </row>
    <row r="185" spans="1:2" x14ac:dyDescent="0.25">
      <c r="A185" s="2"/>
      <c r="B185" s="4"/>
    </row>
    <row r="186" spans="1:2" x14ac:dyDescent="0.25">
      <c r="A186" s="2"/>
      <c r="B186" s="4"/>
    </row>
    <row r="187" spans="1:2" x14ac:dyDescent="0.25">
      <c r="A187" s="2"/>
      <c r="B187" s="4"/>
    </row>
    <row r="188" spans="1:2" x14ac:dyDescent="0.25">
      <c r="A188" s="2"/>
      <c r="B188" s="4"/>
    </row>
    <row r="189" spans="1:2" x14ac:dyDescent="0.25">
      <c r="A189" s="2"/>
      <c r="B189" s="4"/>
    </row>
    <row r="190" spans="1:2" x14ac:dyDescent="0.25">
      <c r="A190" s="2"/>
      <c r="B190" s="4"/>
    </row>
    <row r="191" spans="1:2" x14ac:dyDescent="0.25">
      <c r="A191" s="2"/>
      <c r="B191" s="4"/>
    </row>
    <row r="192" spans="1:2" x14ac:dyDescent="0.25">
      <c r="A192" s="2"/>
      <c r="B192" s="4"/>
    </row>
    <row r="193" spans="1:2" x14ac:dyDescent="0.25">
      <c r="A193" s="2"/>
      <c r="B193" s="4"/>
    </row>
    <row r="194" spans="1:2" x14ac:dyDescent="0.25">
      <c r="A194" s="2"/>
      <c r="B194" s="4"/>
    </row>
    <row r="195" spans="1:2" x14ac:dyDescent="0.25">
      <c r="A195" s="2"/>
      <c r="B195" s="4"/>
    </row>
    <row r="196" spans="1:2" x14ac:dyDescent="0.25">
      <c r="A196" s="2"/>
      <c r="B196" s="4"/>
    </row>
    <row r="197" spans="1:2" x14ac:dyDescent="0.25">
      <c r="A197" s="2"/>
      <c r="B197" s="4"/>
    </row>
    <row r="198" spans="1:2" x14ac:dyDescent="0.25">
      <c r="A198" s="2"/>
      <c r="B198" s="4"/>
    </row>
    <row r="199" spans="1:2" x14ac:dyDescent="0.25">
      <c r="A199" s="2"/>
      <c r="B199" s="4"/>
    </row>
    <row r="200" spans="1:2" x14ac:dyDescent="0.25">
      <c r="A200" s="2"/>
      <c r="B200" s="4"/>
    </row>
    <row r="201" spans="1:2" x14ac:dyDescent="0.25">
      <c r="A201" s="2"/>
      <c r="B201" s="4"/>
    </row>
    <row r="202" spans="1:2" x14ac:dyDescent="0.25">
      <c r="A202" s="2"/>
      <c r="B202" s="4"/>
    </row>
    <row r="203" spans="1:2" x14ac:dyDescent="0.25">
      <c r="A203" s="2"/>
      <c r="B203" s="4"/>
    </row>
    <row r="204" spans="1:2" x14ac:dyDescent="0.25">
      <c r="A204" s="2"/>
      <c r="B204" s="4"/>
    </row>
    <row r="205" spans="1:2" x14ac:dyDescent="0.25">
      <c r="A205" s="2"/>
      <c r="B205" s="4"/>
    </row>
    <row r="206" spans="1:2" x14ac:dyDescent="0.25">
      <c r="A206" s="2"/>
      <c r="B206" s="4"/>
    </row>
    <row r="207" spans="1:2" x14ac:dyDescent="0.25">
      <c r="A207" s="2"/>
      <c r="B207" s="4"/>
    </row>
    <row r="208" spans="1:2" x14ac:dyDescent="0.25">
      <c r="A208" s="2"/>
      <c r="B208" s="4"/>
    </row>
    <row r="209" spans="1:2" x14ac:dyDescent="0.25">
      <c r="A209" s="2"/>
      <c r="B209" s="4"/>
    </row>
    <row r="210" spans="1:2" x14ac:dyDescent="0.25">
      <c r="A210" s="2"/>
      <c r="B210" s="4"/>
    </row>
    <row r="211" spans="1:2" x14ac:dyDescent="0.25">
      <c r="A211" s="2"/>
      <c r="B211" s="4"/>
    </row>
    <row r="212" spans="1:2" x14ac:dyDescent="0.25">
      <c r="A212" s="2"/>
      <c r="B212" s="4"/>
    </row>
    <row r="213" spans="1:2" x14ac:dyDescent="0.25">
      <c r="A213" s="2"/>
      <c r="B213" s="4"/>
    </row>
    <row r="214" spans="1:2" x14ac:dyDescent="0.25">
      <c r="A214" s="2"/>
      <c r="B214" s="4"/>
    </row>
    <row r="215" spans="1:2" x14ac:dyDescent="0.25">
      <c r="A215" s="2"/>
      <c r="B215" s="4"/>
    </row>
    <row r="216" spans="1:2" x14ac:dyDescent="0.25">
      <c r="A216" s="2"/>
      <c r="B216" s="4"/>
    </row>
    <row r="217" spans="1:2" x14ac:dyDescent="0.25">
      <c r="A217" s="2"/>
      <c r="B217" s="4"/>
    </row>
    <row r="218" spans="1:2" x14ac:dyDescent="0.25">
      <c r="A218" s="2"/>
      <c r="B218" s="4"/>
    </row>
    <row r="219" spans="1:2" x14ac:dyDescent="0.25">
      <c r="A219" s="2"/>
      <c r="B219" s="4"/>
    </row>
    <row r="220" spans="1:2" x14ac:dyDescent="0.25">
      <c r="A220" s="2"/>
      <c r="B220" s="4"/>
    </row>
    <row r="221" spans="1:2" x14ac:dyDescent="0.25">
      <c r="A221" s="2"/>
      <c r="B221" s="4"/>
    </row>
    <row r="222" spans="1:2" x14ac:dyDescent="0.25">
      <c r="A222" s="2"/>
      <c r="B222" s="4"/>
    </row>
    <row r="223" spans="1:2" x14ac:dyDescent="0.25">
      <c r="A223" s="2"/>
      <c r="B223" s="4"/>
    </row>
    <row r="224" spans="1:2" x14ac:dyDescent="0.25">
      <c r="A224" s="2"/>
      <c r="B224" s="4"/>
    </row>
    <row r="225" spans="1:2" x14ac:dyDescent="0.25">
      <c r="A225" s="2"/>
      <c r="B225" s="4"/>
    </row>
    <row r="226" spans="1:2" x14ac:dyDescent="0.25">
      <c r="A226" s="2"/>
      <c r="B226" s="4"/>
    </row>
    <row r="227" spans="1:2" x14ac:dyDescent="0.25">
      <c r="A227" s="2"/>
      <c r="B227" s="4"/>
    </row>
    <row r="228" spans="1:2" x14ac:dyDescent="0.25">
      <c r="A228" s="2"/>
      <c r="B228" s="4"/>
    </row>
    <row r="229" spans="1:2" x14ac:dyDescent="0.25">
      <c r="A229" s="2"/>
      <c r="B229" s="4"/>
    </row>
    <row r="230" spans="1:2" x14ac:dyDescent="0.25">
      <c r="A230" s="2"/>
      <c r="B230" s="4"/>
    </row>
    <row r="231" spans="1:2" x14ac:dyDescent="0.25">
      <c r="A231" s="2"/>
      <c r="B231" s="4"/>
    </row>
    <row r="232" spans="1:2" x14ac:dyDescent="0.25">
      <c r="A232" s="2"/>
      <c r="B232" s="4"/>
    </row>
    <row r="233" spans="1:2" x14ac:dyDescent="0.25">
      <c r="A233" s="2"/>
      <c r="B233" s="4"/>
    </row>
    <row r="234" spans="1:2" x14ac:dyDescent="0.25">
      <c r="A234" s="2"/>
      <c r="B234" s="4"/>
    </row>
    <row r="235" spans="1:2" x14ac:dyDescent="0.25">
      <c r="A235" s="2"/>
      <c r="B235" s="4"/>
    </row>
    <row r="236" spans="1:2" x14ac:dyDescent="0.25">
      <c r="A236" s="2"/>
      <c r="B236" s="4"/>
    </row>
    <row r="237" spans="1:2" x14ac:dyDescent="0.25">
      <c r="A237" s="2"/>
      <c r="B237" s="4"/>
    </row>
    <row r="238" spans="1:2" x14ac:dyDescent="0.25">
      <c r="A238" s="2"/>
      <c r="B238" s="4"/>
    </row>
    <row r="239" spans="1:2" x14ac:dyDescent="0.25">
      <c r="A239" s="2"/>
      <c r="B239" s="4"/>
    </row>
    <row r="240" spans="1:2" x14ac:dyDescent="0.25">
      <c r="A240" s="2"/>
      <c r="B240" s="4"/>
    </row>
    <row r="241" spans="1:2" x14ac:dyDescent="0.25">
      <c r="A241" s="2"/>
      <c r="B241" s="4"/>
    </row>
    <row r="242" spans="1:2" x14ac:dyDescent="0.25">
      <c r="A242" s="2"/>
      <c r="B242" s="4"/>
    </row>
    <row r="243" spans="1:2" x14ac:dyDescent="0.25">
      <c r="A243" s="2"/>
      <c r="B243" s="4"/>
    </row>
    <row r="244" spans="1:2" x14ac:dyDescent="0.25">
      <c r="A244" s="2"/>
      <c r="B244" s="4"/>
    </row>
    <row r="245" spans="1:2" x14ac:dyDescent="0.25">
      <c r="A245" s="2"/>
      <c r="B245" s="4"/>
    </row>
    <row r="246" spans="1:2" x14ac:dyDescent="0.25">
      <c r="A246" s="2"/>
      <c r="B246" s="4"/>
    </row>
    <row r="247" spans="1:2" x14ac:dyDescent="0.25">
      <c r="A247" s="2"/>
      <c r="B247" s="4"/>
    </row>
    <row r="248" spans="1:2" x14ac:dyDescent="0.25">
      <c r="A248" s="2"/>
      <c r="B248" s="4"/>
    </row>
    <row r="249" spans="1:2" x14ac:dyDescent="0.25">
      <c r="A249" s="2"/>
      <c r="B249" s="4"/>
    </row>
    <row r="250" spans="1:2" x14ac:dyDescent="0.25">
      <c r="A250" s="2"/>
      <c r="B250" s="4"/>
    </row>
    <row r="251" spans="1:2" x14ac:dyDescent="0.25">
      <c r="A251" s="2"/>
    </row>
    <row r="252" spans="1:2" x14ac:dyDescent="0.25">
      <c r="A252" s="2"/>
    </row>
    <row r="253" spans="1:2" x14ac:dyDescent="0.25">
      <c r="A253" s="2"/>
    </row>
    <row r="254" spans="1:2" x14ac:dyDescent="0.25">
      <c r="A254" s="2"/>
    </row>
    <row r="255" spans="1:2" x14ac:dyDescent="0.25">
      <c r="A255" s="2"/>
    </row>
    <row r="256" spans="1:2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10" workbookViewId="0">
      <selection activeCell="I41" sqref="I41"/>
    </sheetView>
  </sheetViews>
  <sheetFormatPr defaultRowHeight="11.25" x14ac:dyDescent="0.2"/>
  <cols>
    <col min="1" max="1" width="9.140625" style="6"/>
    <col min="2" max="3" width="9.28515625" style="6" bestFit="1" customWidth="1"/>
    <col min="4" max="4" width="14.7109375" style="1" customWidth="1"/>
    <col min="5" max="5" width="14" style="1" customWidth="1"/>
    <col min="6" max="6" width="14.28515625" style="1" bestFit="1" customWidth="1"/>
    <col min="7" max="7" width="15.85546875" style="1" bestFit="1" customWidth="1"/>
    <col min="8" max="8" width="14.28515625" style="1" bestFit="1" customWidth="1"/>
    <col min="9" max="10" width="13.85546875" style="1" bestFit="1" customWidth="1"/>
    <col min="11" max="11" width="17.42578125" style="1" bestFit="1" customWidth="1"/>
    <col min="12" max="12" width="14" style="1" bestFit="1" customWidth="1"/>
    <col min="13" max="13" width="14.85546875" style="1" bestFit="1" customWidth="1"/>
    <col min="14" max="14" width="14.28515625" style="1" bestFit="1" customWidth="1"/>
    <col min="15" max="15" width="12.28515625" style="1" bestFit="1" customWidth="1"/>
    <col min="16" max="16" width="11.42578125" style="1" customWidth="1"/>
    <col min="17" max="17" width="13.85546875" style="1" bestFit="1" customWidth="1"/>
    <col min="18" max="18" width="12.42578125" style="1" bestFit="1" customWidth="1"/>
    <col min="19" max="19" width="11.140625" style="1" bestFit="1" customWidth="1"/>
    <col min="20" max="16384" width="9.140625" style="6"/>
  </cols>
  <sheetData>
    <row r="1" spans="1:19" x14ac:dyDescent="0.2">
      <c r="E1" s="34" t="s">
        <v>37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D2" s="26"/>
      <c r="E2" s="93" t="s">
        <v>13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67.5" x14ac:dyDescent="0.2">
      <c r="A3" s="6" t="s">
        <v>14</v>
      </c>
      <c r="B3" s="6" t="s">
        <v>15</v>
      </c>
      <c r="C3" s="6" t="s">
        <v>4</v>
      </c>
      <c r="D3" s="25" t="s">
        <v>16</v>
      </c>
      <c r="E3" s="66" t="s">
        <v>22</v>
      </c>
      <c r="F3" s="66" t="s">
        <v>23</v>
      </c>
      <c r="G3" s="66" t="s">
        <v>24</v>
      </c>
      <c r="H3" s="66" t="s">
        <v>25</v>
      </c>
      <c r="I3" s="66" t="s">
        <v>26</v>
      </c>
      <c r="J3" s="66" t="s">
        <v>27</v>
      </c>
      <c r="K3" s="66" t="s">
        <v>28</v>
      </c>
      <c r="L3" s="66" t="s">
        <v>29</v>
      </c>
      <c r="M3" s="66" t="s">
        <v>30</v>
      </c>
      <c r="N3" s="66" t="s">
        <v>31</v>
      </c>
      <c r="O3" s="66" t="s">
        <v>32</v>
      </c>
      <c r="P3" s="66" t="s">
        <v>33</v>
      </c>
      <c r="Q3" s="66" t="s">
        <v>34</v>
      </c>
      <c r="R3" s="67" t="s">
        <v>35</v>
      </c>
      <c r="S3" s="67" t="s">
        <v>36</v>
      </c>
    </row>
    <row r="4" spans="1:19" x14ac:dyDescent="0.2">
      <c r="A4" s="1" t="str">
        <f>CONCATENATE(B4,C4)</f>
        <v>20171</v>
      </c>
      <c r="B4" s="1">
        <f>YEAR(D4)</f>
        <v>2017</v>
      </c>
      <c r="C4" s="1">
        <f>MONTH(D4)</f>
        <v>1</v>
      </c>
      <c r="D4" s="27">
        <v>42736</v>
      </c>
      <c r="E4" s="69">
        <v>87.6</v>
      </c>
      <c r="F4" s="69">
        <v>83.7</v>
      </c>
      <c r="G4" s="69">
        <v>74</v>
      </c>
      <c r="H4" s="69">
        <v>87.6</v>
      </c>
      <c r="I4" s="69">
        <v>88.8</v>
      </c>
      <c r="J4" s="69">
        <v>64.599999999999994</v>
      </c>
      <c r="K4" s="69">
        <v>72.099999999999994</v>
      </c>
      <c r="L4" s="69">
        <v>63.4</v>
      </c>
      <c r="M4" s="69">
        <v>72.3</v>
      </c>
      <c r="N4" s="69">
        <v>99.9</v>
      </c>
      <c r="O4" s="69">
        <v>118.2</v>
      </c>
      <c r="P4" s="69">
        <v>75.8</v>
      </c>
      <c r="Q4" s="69">
        <v>86.7</v>
      </c>
      <c r="R4" s="69">
        <v>66.5</v>
      </c>
      <c r="S4" s="69">
        <v>86</v>
      </c>
    </row>
    <row r="5" spans="1:19" x14ac:dyDescent="0.2">
      <c r="A5" s="1" t="str">
        <f t="shared" ref="A5:A39" si="0">CONCATENATE(B5,C5)</f>
        <v>20172</v>
      </c>
      <c r="B5" s="1">
        <f t="shared" ref="B5:B39" si="1">YEAR(D5)</f>
        <v>2017</v>
      </c>
      <c r="C5" s="1">
        <f t="shared" ref="C5:C39" si="2">MONTH(D5)</f>
        <v>2</v>
      </c>
      <c r="D5" s="27">
        <v>42767</v>
      </c>
      <c r="E5" s="70">
        <v>88.4</v>
      </c>
      <c r="F5" s="70">
        <v>78.7</v>
      </c>
      <c r="G5" s="70">
        <v>69.599999999999994</v>
      </c>
      <c r="H5" s="70">
        <v>88.3</v>
      </c>
      <c r="I5" s="70">
        <v>90.1</v>
      </c>
      <c r="J5" s="70">
        <v>56.8</v>
      </c>
      <c r="K5" s="70">
        <v>58.5</v>
      </c>
      <c r="L5" s="70">
        <v>53.1</v>
      </c>
      <c r="M5" s="70">
        <v>58.5</v>
      </c>
      <c r="N5" s="70">
        <v>91.7</v>
      </c>
      <c r="O5" s="70">
        <v>105.6</v>
      </c>
      <c r="P5" s="70">
        <v>92.3</v>
      </c>
      <c r="Q5" s="70">
        <v>71.099999999999994</v>
      </c>
      <c r="R5" s="70">
        <v>58.9</v>
      </c>
      <c r="S5" s="70">
        <v>77.8</v>
      </c>
    </row>
    <row r="6" spans="1:19" x14ac:dyDescent="0.2">
      <c r="A6" s="1" t="str">
        <f t="shared" si="0"/>
        <v>20173</v>
      </c>
      <c r="B6" s="1">
        <f t="shared" si="1"/>
        <v>2017</v>
      </c>
      <c r="C6" s="1">
        <f t="shared" si="2"/>
        <v>3</v>
      </c>
      <c r="D6" s="27">
        <v>42795</v>
      </c>
      <c r="E6" s="70">
        <v>86</v>
      </c>
      <c r="F6" s="70">
        <v>84.2</v>
      </c>
      <c r="G6" s="70">
        <v>75.5</v>
      </c>
      <c r="H6" s="70">
        <v>86.8</v>
      </c>
      <c r="I6" s="70">
        <v>86.5</v>
      </c>
      <c r="J6" s="70">
        <v>71.099999999999994</v>
      </c>
      <c r="K6" s="70">
        <v>70.900000000000006</v>
      </c>
      <c r="L6" s="70">
        <v>61.6</v>
      </c>
      <c r="M6" s="70">
        <v>72.2</v>
      </c>
      <c r="N6" s="70">
        <v>103.7</v>
      </c>
      <c r="O6" s="70">
        <v>75.8</v>
      </c>
      <c r="P6" s="70">
        <v>116.7</v>
      </c>
      <c r="Q6" s="70">
        <v>86.1</v>
      </c>
      <c r="R6" s="70">
        <v>78.5</v>
      </c>
      <c r="S6" s="70">
        <v>91.2</v>
      </c>
    </row>
    <row r="7" spans="1:19" x14ac:dyDescent="0.2">
      <c r="A7" s="1" t="str">
        <f t="shared" si="0"/>
        <v>20174</v>
      </c>
      <c r="B7" s="1">
        <f t="shared" si="1"/>
        <v>2017</v>
      </c>
      <c r="C7" s="1">
        <f t="shared" si="2"/>
        <v>4</v>
      </c>
      <c r="D7" s="27">
        <v>42826</v>
      </c>
      <c r="E7" s="70">
        <v>87.3</v>
      </c>
      <c r="F7" s="70">
        <v>81.900000000000006</v>
      </c>
      <c r="G7" s="70">
        <v>69.5</v>
      </c>
      <c r="H7" s="70">
        <v>84.1</v>
      </c>
      <c r="I7" s="70">
        <v>84.5</v>
      </c>
      <c r="J7" s="70">
        <v>75.3</v>
      </c>
      <c r="K7" s="70">
        <v>60.7</v>
      </c>
      <c r="L7" s="70">
        <v>59.2</v>
      </c>
      <c r="M7" s="70">
        <v>59.7</v>
      </c>
      <c r="N7" s="70">
        <v>102.4</v>
      </c>
      <c r="O7" s="70">
        <v>53.9</v>
      </c>
      <c r="P7" s="70">
        <v>107.9</v>
      </c>
      <c r="Q7" s="70">
        <v>89.6</v>
      </c>
      <c r="R7" s="70">
        <v>63.6</v>
      </c>
      <c r="S7" s="70">
        <v>78.2</v>
      </c>
    </row>
    <row r="8" spans="1:19" x14ac:dyDescent="0.2">
      <c r="A8" s="1" t="str">
        <f t="shared" si="0"/>
        <v>20175</v>
      </c>
      <c r="B8" s="1">
        <f t="shared" si="1"/>
        <v>2017</v>
      </c>
      <c r="C8" s="1">
        <f t="shared" si="2"/>
        <v>5</v>
      </c>
      <c r="D8" s="27">
        <v>42856</v>
      </c>
      <c r="E8" s="70">
        <v>87.7</v>
      </c>
      <c r="F8" s="70">
        <v>86.1</v>
      </c>
      <c r="G8" s="70">
        <v>72.5</v>
      </c>
      <c r="H8" s="70">
        <v>88.1</v>
      </c>
      <c r="I8" s="70">
        <v>89.1</v>
      </c>
      <c r="J8" s="70">
        <v>82.3</v>
      </c>
      <c r="K8" s="70">
        <v>71.099999999999994</v>
      </c>
      <c r="L8" s="70">
        <v>63.9</v>
      </c>
      <c r="M8" s="70">
        <v>72.099999999999994</v>
      </c>
      <c r="N8" s="70">
        <v>109.4</v>
      </c>
      <c r="O8" s="70">
        <v>57.2</v>
      </c>
      <c r="P8" s="70">
        <v>116.1</v>
      </c>
      <c r="Q8" s="70">
        <v>87.1</v>
      </c>
      <c r="R8" s="70">
        <v>77.599999999999994</v>
      </c>
      <c r="S8" s="70">
        <v>82.3</v>
      </c>
    </row>
    <row r="9" spans="1:19" x14ac:dyDescent="0.2">
      <c r="A9" s="1" t="str">
        <f t="shared" si="0"/>
        <v>20176</v>
      </c>
      <c r="B9" s="1">
        <f t="shared" si="1"/>
        <v>2017</v>
      </c>
      <c r="C9" s="1">
        <f t="shared" si="2"/>
        <v>6</v>
      </c>
      <c r="D9" s="27">
        <v>42887</v>
      </c>
      <c r="E9" s="70">
        <v>88.1</v>
      </c>
      <c r="F9" s="70">
        <v>82.9</v>
      </c>
      <c r="G9" s="70">
        <v>72.5</v>
      </c>
      <c r="H9" s="70">
        <v>84.6</v>
      </c>
      <c r="I9" s="70">
        <v>85</v>
      </c>
      <c r="J9" s="70">
        <v>77.2</v>
      </c>
      <c r="K9" s="70">
        <v>67.099999999999994</v>
      </c>
      <c r="L9" s="70">
        <v>65.400000000000006</v>
      </c>
      <c r="M9" s="70">
        <v>66.400000000000006</v>
      </c>
      <c r="N9" s="70">
        <v>103.8</v>
      </c>
      <c r="O9" s="70">
        <v>53.7</v>
      </c>
      <c r="P9" s="70">
        <v>110.2</v>
      </c>
      <c r="Q9" s="70">
        <v>86.2</v>
      </c>
      <c r="R9" s="70">
        <v>70.900000000000006</v>
      </c>
      <c r="S9" s="70">
        <v>78</v>
      </c>
    </row>
    <row r="10" spans="1:19" x14ac:dyDescent="0.2">
      <c r="A10" s="1" t="str">
        <f t="shared" si="0"/>
        <v>20177</v>
      </c>
      <c r="B10" s="1">
        <f t="shared" si="1"/>
        <v>2017</v>
      </c>
      <c r="C10" s="1">
        <f t="shared" si="2"/>
        <v>7</v>
      </c>
      <c r="D10" s="27">
        <v>42917</v>
      </c>
      <c r="E10" s="70">
        <v>88.9</v>
      </c>
      <c r="F10" s="70">
        <v>85.1</v>
      </c>
      <c r="G10" s="70">
        <v>69.5</v>
      </c>
      <c r="H10" s="70">
        <v>90.1</v>
      </c>
      <c r="I10" s="70">
        <v>89.5</v>
      </c>
      <c r="J10" s="70">
        <v>82.4</v>
      </c>
      <c r="K10" s="70">
        <v>67.900000000000006</v>
      </c>
      <c r="L10" s="70">
        <v>67.400000000000006</v>
      </c>
      <c r="M10" s="70">
        <v>66.8</v>
      </c>
      <c r="N10" s="70">
        <v>106.9</v>
      </c>
      <c r="O10" s="70">
        <v>55.4</v>
      </c>
      <c r="P10" s="70">
        <v>76.5</v>
      </c>
      <c r="Q10" s="70">
        <v>82</v>
      </c>
      <c r="R10" s="70">
        <v>65.7</v>
      </c>
      <c r="S10" s="70">
        <v>83.9</v>
      </c>
    </row>
    <row r="11" spans="1:19" x14ac:dyDescent="0.2">
      <c r="A11" s="1" t="str">
        <f t="shared" si="0"/>
        <v>20178</v>
      </c>
      <c r="B11" s="1">
        <f t="shared" si="1"/>
        <v>2017</v>
      </c>
      <c r="C11" s="1">
        <f t="shared" si="2"/>
        <v>8</v>
      </c>
      <c r="D11" s="27">
        <v>42948</v>
      </c>
      <c r="E11" s="70">
        <v>87.5</v>
      </c>
      <c r="F11" s="70">
        <v>87.1</v>
      </c>
      <c r="G11" s="70">
        <v>68</v>
      </c>
      <c r="H11" s="70">
        <v>93.1</v>
      </c>
      <c r="I11" s="70">
        <v>92.5</v>
      </c>
      <c r="J11" s="70">
        <v>78.900000000000006</v>
      </c>
      <c r="K11" s="70">
        <v>68.900000000000006</v>
      </c>
      <c r="L11" s="70">
        <v>70.099999999999994</v>
      </c>
      <c r="M11" s="70">
        <v>67.3</v>
      </c>
      <c r="N11" s="70">
        <v>108.4</v>
      </c>
      <c r="O11" s="70">
        <v>55.4</v>
      </c>
      <c r="P11" s="70">
        <v>77.7</v>
      </c>
      <c r="Q11" s="70">
        <v>87.6</v>
      </c>
      <c r="R11" s="70">
        <v>73.400000000000006</v>
      </c>
      <c r="S11" s="70">
        <v>91.9</v>
      </c>
    </row>
    <row r="12" spans="1:19" x14ac:dyDescent="0.2">
      <c r="A12" s="1" t="str">
        <f t="shared" si="0"/>
        <v>20179</v>
      </c>
      <c r="B12" s="1">
        <f t="shared" si="1"/>
        <v>2017</v>
      </c>
      <c r="C12" s="1">
        <f t="shared" si="2"/>
        <v>9</v>
      </c>
      <c r="D12" s="27">
        <v>42979</v>
      </c>
      <c r="E12" s="70">
        <v>88.7</v>
      </c>
      <c r="F12" s="70">
        <v>85.9</v>
      </c>
      <c r="G12" s="70">
        <v>66.400000000000006</v>
      </c>
      <c r="H12" s="70">
        <v>89.3</v>
      </c>
      <c r="I12" s="70">
        <v>88.3</v>
      </c>
      <c r="J12" s="70">
        <v>75</v>
      </c>
      <c r="K12" s="70">
        <v>67.3</v>
      </c>
      <c r="L12" s="70">
        <v>67.7</v>
      </c>
      <c r="M12" s="70">
        <v>66.099999999999994</v>
      </c>
      <c r="N12" s="70">
        <v>106.7</v>
      </c>
      <c r="O12" s="70">
        <v>50.8</v>
      </c>
      <c r="P12" s="70">
        <v>76.5</v>
      </c>
      <c r="Q12" s="70">
        <v>98.5</v>
      </c>
      <c r="R12" s="70">
        <v>71.099999999999994</v>
      </c>
      <c r="S12" s="70">
        <v>82.9</v>
      </c>
    </row>
    <row r="13" spans="1:19" x14ac:dyDescent="0.2">
      <c r="A13" s="1" t="str">
        <f t="shared" si="0"/>
        <v>201710</v>
      </c>
      <c r="B13" s="1">
        <f t="shared" si="1"/>
        <v>2017</v>
      </c>
      <c r="C13" s="1">
        <f t="shared" si="2"/>
        <v>10</v>
      </c>
      <c r="D13" s="27">
        <v>43009</v>
      </c>
      <c r="E13" s="70">
        <v>87.4</v>
      </c>
      <c r="F13" s="70">
        <v>86.8</v>
      </c>
      <c r="G13" s="70">
        <v>67</v>
      </c>
      <c r="H13" s="70">
        <v>93.7</v>
      </c>
      <c r="I13" s="70">
        <v>95.4</v>
      </c>
      <c r="J13" s="70">
        <v>71.900000000000006</v>
      </c>
      <c r="K13" s="70">
        <v>67.099999999999994</v>
      </c>
      <c r="L13" s="70">
        <v>70.900000000000006</v>
      </c>
      <c r="M13" s="70">
        <v>64.7</v>
      </c>
      <c r="N13" s="70">
        <v>106</v>
      </c>
      <c r="O13" s="70">
        <v>58.8</v>
      </c>
      <c r="P13" s="70">
        <v>70.3</v>
      </c>
      <c r="Q13" s="70">
        <v>92.1</v>
      </c>
      <c r="R13" s="70">
        <v>68.7</v>
      </c>
      <c r="S13" s="70">
        <v>82.9</v>
      </c>
    </row>
    <row r="14" spans="1:19" x14ac:dyDescent="0.2">
      <c r="A14" s="1" t="str">
        <f t="shared" si="0"/>
        <v>201711</v>
      </c>
      <c r="B14" s="1">
        <f t="shared" si="1"/>
        <v>2017</v>
      </c>
      <c r="C14" s="1">
        <f t="shared" si="2"/>
        <v>11</v>
      </c>
      <c r="D14" s="27">
        <v>43040</v>
      </c>
      <c r="E14" s="70">
        <v>86.9</v>
      </c>
      <c r="F14" s="70">
        <v>90.9</v>
      </c>
      <c r="G14" s="70">
        <v>60</v>
      </c>
      <c r="H14" s="70">
        <v>87.6</v>
      </c>
      <c r="I14" s="70">
        <v>87.9</v>
      </c>
      <c r="J14" s="70">
        <v>83.3</v>
      </c>
      <c r="K14" s="70">
        <v>91.5</v>
      </c>
      <c r="L14" s="70">
        <v>95.5</v>
      </c>
      <c r="M14" s="70">
        <v>88.4</v>
      </c>
      <c r="N14" s="70">
        <v>101.5</v>
      </c>
      <c r="O14" s="70">
        <v>65.5</v>
      </c>
      <c r="P14" s="70">
        <v>91.3</v>
      </c>
      <c r="Q14" s="70">
        <v>121.6</v>
      </c>
      <c r="R14" s="70">
        <v>78.8</v>
      </c>
      <c r="S14" s="70">
        <v>84.2</v>
      </c>
    </row>
    <row r="15" spans="1:19" x14ac:dyDescent="0.2">
      <c r="A15" s="1" t="str">
        <f t="shared" si="0"/>
        <v>201712</v>
      </c>
      <c r="B15" s="1">
        <f t="shared" si="1"/>
        <v>2017</v>
      </c>
      <c r="C15" s="1">
        <f t="shared" si="2"/>
        <v>12</v>
      </c>
      <c r="D15" s="27">
        <v>43070</v>
      </c>
      <c r="E15" s="71">
        <v>86.2</v>
      </c>
      <c r="F15" s="71">
        <v>115.1</v>
      </c>
      <c r="G15" s="71">
        <v>65.900000000000006</v>
      </c>
      <c r="H15" s="71">
        <v>110.3</v>
      </c>
      <c r="I15" s="71">
        <v>111.1</v>
      </c>
      <c r="J15" s="71">
        <v>141.6</v>
      </c>
      <c r="K15" s="71">
        <v>102.7</v>
      </c>
      <c r="L15" s="71">
        <v>105.6</v>
      </c>
      <c r="M15" s="71">
        <v>99.9</v>
      </c>
      <c r="N15" s="71">
        <v>111.2</v>
      </c>
      <c r="O15" s="71">
        <v>106.5</v>
      </c>
      <c r="P15" s="71">
        <v>121</v>
      </c>
      <c r="Q15" s="71">
        <v>153.9</v>
      </c>
      <c r="R15" s="71">
        <v>73.099999999999994</v>
      </c>
      <c r="S15" s="71">
        <v>82.4</v>
      </c>
    </row>
    <row r="16" spans="1:19" x14ac:dyDescent="0.2">
      <c r="A16" s="1" t="str">
        <f t="shared" si="0"/>
        <v>20181</v>
      </c>
      <c r="B16" s="1">
        <f t="shared" si="1"/>
        <v>2018</v>
      </c>
      <c r="C16" s="1">
        <f t="shared" si="2"/>
        <v>1</v>
      </c>
      <c r="D16" s="27">
        <v>43101</v>
      </c>
      <c r="E16" s="69">
        <v>87.4</v>
      </c>
      <c r="F16" s="69">
        <v>84.3</v>
      </c>
      <c r="G16" s="69">
        <v>59.1</v>
      </c>
      <c r="H16" s="69">
        <v>86</v>
      </c>
      <c r="I16" s="69">
        <v>84.8</v>
      </c>
      <c r="J16" s="69">
        <v>69.5</v>
      </c>
      <c r="K16" s="69">
        <v>79.5</v>
      </c>
      <c r="L16" s="69">
        <v>69.099999999999994</v>
      </c>
      <c r="M16" s="69">
        <v>80.900000000000006</v>
      </c>
      <c r="N16" s="69">
        <v>104.6</v>
      </c>
      <c r="O16" s="69">
        <v>126.4</v>
      </c>
      <c r="P16" s="69">
        <v>77.5</v>
      </c>
      <c r="Q16" s="69">
        <v>93.7</v>
      </c>
      <c r="R16" s="69">
        <v>77.3</v>
      </c>
      <c r="S16" s="69">
        <v>87.2</v>
      </c>
    </row>
    <row r="17" spans="1:19" x14ac:dyDescent="0.2">
      <c r="A17" s="1" t="str">
        <f t="shared" si="0"/>
        <v>20182</v>
      </c>
      <c r="B17" s="1">
        <f t="shared" si="1"/>
        <v>2018</v>
      </c>
      <c r="C17" s="1">
        <f t="shared" si="2"/>
        <v>2</v>
      </c>
      <c r="D17" s="27">
        <v>43132</v>
      </c>
      <c r="E17" s="70">
        <v>87</v>
      </c>
      <c r="F17" s="70">
        <v>77.5</v>
      </c>
      <c r="G17" s="70">
        <v>56.2</v>
      </c>
      <c r="H17" s="70">
        <v>84.3</v>
      </c>
      <c r="I17" s="70">
        <v>83.5</v>
      </c>
      <c r="J17" s="70">
        <v>57.5</v>
      </c>
      <c r="K17" s="70">
        <v>63.4</v>
      </c>
      <c r="L17" s="70">
        <v>57.8</v>
      </c>
      <c r="M17" s="70">
        <v>63.9</v>
      </c>
      <c r="N17" s="70">
        <v>97.2</v>
      </c>
      <c r="O17" s="70">
        <v>115.3</v>
      </c>
      <c r="P17" s="70">
        <v>80</v>
      </c>
      <c r="Q17" s="70">
        <v>77.400000000000006</v>
      </c>
      <c r="R17" s="70">
        <v>63.6</v>
      </c>
      <c r="S17" s="70">
        <v>71.900000000000006</v>
      </c>
    </row>
    <row r="18" spans="1:19" x14ac:dyDescent="0.2">
      <c r="A18" s="1" t="str">
        <f t="shared" si="0"/>
        <v>20183</v>
      </c>
      <c r="B18" s="1">
        <f t="shared" si="1"/>
        <v>2018</v>
      </c>
      <c r="C18" s="1">
        <f t="shared" si="2"/>
        <v>3</v>
      </c>
      <c r="D18" s="27">
        <v>43160</v>
      </c>
      <c r="E18" s="70">
        <v>89.3</v>
      </c>
      <c r="F18" s="70">
        <v>91</v>
      </c>
      <c r="G18" s="70">
        <v>63.1</v>
      </c>
      <c r="H18" s="70">
        <v>95.6</v>
      </c>
      <c r="I18" s="70">
        <v>94.4</v>
      </c>
      <c r="J18" s="70">
        <v>70.5</v>
      </c>
      <c r="K18" s="70">
        <v>78</v>
      </c>
      <c r="L18" s="70">
        <v>66.7</v>
      </c>
      <c r="M18" s="70">
        <v>79.900000000000006</v>
      </c>
      <c r="N18" s="70">
        <v>116.2</v>
      </c>
      <c r="O18" s="70">
        <v>66.8</v>
      </c>
      <c r="P18" s="70">
        <v>90.3</v>
      </c>
      <c r="Q18" s="70">
        <v>103.3</v>
      </c>
      <c r="R18" s="70">
        <v>78.2</v>
      </c>
      <c r="S18" s="70">
        <v>87.3</v>
      </c>
    </row>
    <row r="19" spans="1:19" x14ac:dyDescent="0.2">
      <c r="A19" s="1" t="str">
        <f t="shared" si="0"/>
        <v>20184</v>
      </c>
      <c r="B19" s="1">
        <f t="shared" si="1"/>
        <v>2018</v>
      </c>
      <c r="C19" s="1">
        <f t="shared" si="2"/>
        <v>4</v>
      </c>
      <c r="D19" s="27">
        <v>43191</v>
      </c>
      <c r="E19" s="70">
        <v>90.8</v>
      </c>
      <c r="F19" s="70">
        <v>81.8</v>
      </c>
      <c r="G19" s="70">
        <v>58.6</v>
      </c>
      <c r="H19" s="70">
        <v>86.5</v>
      </c>
      <c r="I19" s="70">
        <v>85.1</v>
      </c>
      <c r="J19" s="70">
        <v>68.599999999999994</v>
      </c>
      <c r="K19" s="70">
        <v>70.5</v>
      </c>
      <c r="L19" s="70">
        <v>68.3</v>
      </c>
      <c r="M19" s="70">
        <v>69.7</v>
      </c>
      <c r="N19" s="70">
        <v>108.6</v>
      </c>
      <c r="O19" s="70">
        <v>50</v>
      </c>
      <c r="P19" s="70">
        <v>79.099999999999994</v>
      </c>
      <c r="Q19" s="70">
        <v>84.2</v>
      </c>
      <c r="R19" s="70">
        <v>71.900000000000006</v>
      </c>
      <c r="S19" s="70">
        <v>79.3</v>
      </c>
    </row>
    <row r="20" spans="1:19" x14ac:dyDescent="0.2">
      <c r="A20" s="1" t="str">
        <f t="shared" si="0"/>
        <v>20185</v>
      </c>
      <c r="B20" s="1">
        <f t="shared" si="1"/>
        <v>2018</v>
      </c>
      <c r="C20" s="1">
        <f t="shared" si="2"/>
        <v>5</v>
      </c>
      <c r="D20" s="27">
        <v>43221</v>
      </c>
      <c r="E20" s="70">
        <v>88.4</v>
      </c>
      <c r="F20" s="70">
        <v>87.1</v>
      </c>
      <c r="G20" s="70">
        <v>62.6</v>
      </c>
      <c r="H20" s="70">
        <v>89.9</v>
      </c>
      <c r="I20" s="70">
        <v>90</v>
      </c>
      <c r="J20" s="70">
        <v>77.5</v>
      </c>
      <c r="K20" s="70">
        <v>73.8</v>
      </c>
      <c r="L20" s="70">
        <v>61.4</v>
      </c>
      <c r="M20" s="70">
        <v>76.2</v>
      </c>
      <c r="N20" s="70">
        <v>112.1</v>
      </c>
      <c r="O20" s="70">
        <v>49.3</v>
      </c>
      <c r="P20" s="70">
        <v>113.1</v>
      </c>
      <c r="Q20" s="70">
        <v>95.4</v>
      </c>
      <c r="R20" s="70">
        <v>76</v>
      </c>
      <c r="S20" s="70">
        <v>75.599999999999994</v>
      </c>
    </row>
    <row r="21" spans="1:19" x14ac:dyDescent="0.2">
      <c r="A21" s="1" t="str">
        <f t="shared" si="0"/>
        <v>20186</v>
      </c>
      <c r="B21" s="1">
        <f t="shared" si="1"/>
        <v>2018</v>
      </c>
      <c r="C21" s="1">
        <f t="shared" si="2"/>
        <v>6</v>
      </c>
      <c r="D21" s="27">
        <v>43252</v>
      </c>
      <c r="E21" s="70">
        <v>87.6</v>
      </c>
      <c r="F21" s="70">
        <v>83</v>
      </c>
      <c r="G21" s="70">
        <v>51.9</v>
      </c>
      <c r="H21" s="70">
        <v>85.2</v>
      </c>
      <c r="I21" s="70">
        <v>83.8</v>
      </c>
      <c r="J21" s="70">
        <v>77.900000000000006</v>
      </c>
      <c r="K21" s="70">
        <v>70.2</v>
      </c>
      <c r="L21" s="70">
        <v>60.3</v>
      </c>
      <c r="M21" s="70">
        <v>71.900000000000006</v>
      </c>
      <c r="N21" s="70">
        <v>104.8</v>
      </c>
      <c r="O21" s="70">
        <v>48.7</v>
      </c>
      <c r="P21" s="70">
        <v>84</v>
      </c>
      <c r="Q21" s="70">
        <v>96.8</v>
      </c>
      <c r="R21" s="70">
        <v>71.400000000000006</v>
      </c>
      <c r="S21" s="70">
        <v>75.900000000000006</v>
      </c>
    </row>
    <row r="22" spans="1:19" x14ac:dyDescent="0.2">
      <c r="A22" s="1" t="str">
        <f t="shared" si="0"/>
        <v>20187</v>
      </c>
      <c r="B22" s="1">
        <f t="shared" si="1"/>
        <v>2018</v>
      </c>
      <c r="C22" s="1">
        <f t="shared" si="2"/>
        <v>7</v>
      </c>
      <c r="D22" s="27">
        <v>43282</v>
      </c>
      <c r="E22" s="70">
        <v>87.2</v>
      </c>
      <c r="F22" s="70">
        <v>82.7</v>
      </c>
      <c r="G22" s="70">
        <v>55.2</v>
      </c>
      <c r="H22" s="70">
        <v>89.2</v>
      </c>
      <c r="I22" s="70">
        <v>86.7</v>
      </c>
      <c r="J22" s="70">
        <v>75.900000000000006</v>
      </c>
      <c r="K22" s="70">
        <v>66.2</v>
      </c>
      <c r="L22" s="70">
        <v>60.4</v>
      </c>
      <c r="M22" s="70">
        <v>66.5</v>
      </c>
      <c r="N22" s="70">
        <v>105</v>
      </c>
      <c r="O22" s="70">
        <v>47.4</v>
      </c>
      <c r="P22" s="70">
        <v>77.900000000000006</v>
      </c>
      <c r="Q22" s="70">
        <v>84.2</v>
      </c>
      <c r="R22" s="70">
        <v>69.900000000000006</v>
      </c>
      <c r="S22" s="70">
        <v>79.8</v>
      </c>
    </row>
    <row r="23" spans="1:19" x14ac:dyDescent="0.2">
      <c r="A23" s="1" t="str">
        <f t="shared" si="0"/>
        <v>20188</v>
      </c>
      <c r="B23" s="1">
        <f t="shared" si="1"/>
        <v>2018</v>
      </c>
      <c r="C23" s="1">
        <f t="shared" si="2"/>
        <v>8</v>
      </c>
      <c r="D23" s="27">
        <v>43313</v>
      </c>
      <c r="E23" s="70">
        <v>88.1</v>
      </c>
      <c r="F23" s="70">
        <v>88.2</v>
      </c>
      <c r="G23" s="70">
        <v>56</v>
      </c>
      <c r="H23" s="70">
        <v>93.5</v>
      </c>
      <c r="I23" s="70">
        <v>91.5</v>
      </c>
      <c r="J23" s="70">
        <v>81.2</v>
      </c>
      <c r="K23" s="70">
        <v>70.8</v>
      </c>
      <c r="L23" s="70">
        <v>65.8</v>
      </c>
      <c r="M23" s="70">
        <v>70.900000000000006</v>
      </c>
      <c r="N23" s="70">
        <v>113.3</v>
      </c>
      <c r="O23" s="70">
        <v>54.5</v>
      </c>
      <c r="P23" s="70">
        <v>90.6</v>
      </c>
      <c r="Q23" s="70">
        <v>94.9</v>
      </c>
      <c r="R23" s="70">
        <v>88.4</v>
      </c>
      <c r="S23" s="70">
        <v>85.2</v>
      </c>
    </row>
    <row r="24" spans="1:19" x14ac:dyDescent="0.2">
      <c r="A24" s="1" t="str">
        <f t="shared" si="0"/>
        <v>20189</v>
      </c>
      <c r="B24" s="1">
        <f t="shared" si="1"/>
        <v>2018</v>
      </c>
      <c r="C24" s="1">
        <f t="shared" si="2"/>
        <v>9</v>
      </c>
      <c r="D24" s="27">
        <v>43344</v>
      </c>
      <c r="E24" s="70">
        <v>86.8</v>
      </c>
      <c r="F24" s="70">
        <v>83.2</v>
      </c>
      <c r="G24" s="70">
        <v>55.9</v>
      </c>
      <c r="H24" s="70">
        <v>89.3</v>
      </c>
      <c r="I24" s="70">
        <v>86.9</v>
      </c>
      <c r="J24" s="70">
        <v>72.7</v>
      </c>
      <c r="K24" s="70">
        <v>67.2</v>
      </c>
      <c r="L24" s="70">
        <v>60.3</v>
      </c>
      <c r="M24" s="70">
        <v>68</v>
      </c>
      <c r="N24" s="70">
        <v>105.3</v>
      </c>
      <c r="O24" s="70">
        <v>45.9</v>
      </c>
      <c r="P24" s="70">
        <v>74.400000000000006</v>
      </c>
      <c r="Q24" s="70">
        <v>88.7</v>
      </c>
      <c r="R24" s="70">
        <v>73.3</v>
      </c>
      <c r="S24" s="70">
        <v>78.099999999999994</v>
      </c>
    </row>
    <row r="25" spans="1:19" x14ac:dyDescent="0.2">
      <c r="A25" s="1" t="str">
        <f t="shared" si="0"/>
        <v>201810</v>
      </c>
      <c r="B25" s="1">
        <f t="shared" si="1"/>
        <v>2018</v>
      </c>
      <c r="C25" s="1">
        <f t="shared" si="2"/>
        <v>10</v>
      </c>
      <c r="D25" s="27">
        <v>43374</v>
      </c>
      <c r="E25" s="70">
        <v>86.5</v>
      </c>
      <c r="F25" s="70">
        <v>86.6</v>
      </c>
      <c r="G25" s="70">
        <v>59.3</v>
      </c>
      <c r="H25" s="70">
        <v>93.1</v>
      </c>
      <c r="I25" s="70">
        <v>92.4</v>
      </c>
      <c r="J25" s="70">
        <v>74.5</v>
      </c>
      <c r="K25" s="70">
        <v>69.400000000000006</v>
      </c>
      <c r="L25" s="70">
        <v>63.7</v>
      </c>
      <c r="M25" s="70">
        <v>69.7</v>
      </c>
      <c r="N25" s="70">
        <v>109.5</v>
      </c>
      <c r="O25" s="70">
        <v>55.1</v>
      </c>
      <c r="P25" s="70">
        <v>84.3</v>
      </c>
      <c r="Q25" s="70">
        <v>91.1</v>
      </c>
      <c r="R25" s="70">
        <v>88.1</v>
      </c>
      <c r="S25" s="70">
        <v>82.3</v>
      </c>
    </row>
    <row r="26" spans="1:19" x14ac:dyDescent="0.2">
      <c r="A26" s="1" t="str">
        <f t="shared" si="0"/>
        <v>201811</v>
      </c>
      <c r="B26" s="1">
        <f t="shared" si="1"/>
        <v>2018</v>
      </c>
      <c r="C26" s="1">
        <f t="shared" si="2"/>
        <v>11</v>
      </c>
      <c r="D26" s="27">
        <v>43405</v>
      </c>
      <c r="E26" s="70">
        <v>90.9</v>
      </c>
      <c r="F26" s="70">
        <v>95.2</v>
      </c>
      <c r="G26" s="70">
        <v>60.2</v>
      </c>
      <c r="H26" s="70">
        <v>90.6</v>
      </c>
      <c r="I26" s="70">
        <v>91.2</v>
      </c>
      <c r="J26" s="70">
        <v>84.9</v>
      </c>
      <c r="K26" s="70">
        <v>97</v>
      </c>
      <c r="L26" s="70">
        <v>83.1</v>
      </c>
      <c r="M26" s="70">
        <v>99.5</v>
      </c>
      <c r="N26" s="70">
        <v>107.9</v>
      </c>
      <c r="O26" s="70">
        <v>48.5</v>
      </c>
      <c r="P26" s="70">
        <v>100.8</v>
      </c>
      <c r="Q26" s="70">
        <v>134.5</v>
      </c>
      <c r="R26" s="70">
        <v>84.6</v>
      </c>
      <c r="S26" s="70">
        <v>84.2</v>
      </c>
    </row>
    <row r="27" spans="1:19" x14ac:dyDescent="0.2">
      <c r="A27" s="1" t="str">
        <f t="shared" si="0"/>
        <v>201812</v>
      </c>
      <c r="B27" s="1">
        <f t="shared" si="1"/>
        <v>2018</v>
      </c>
      <c r="C27" s="1">
        <f t="shared" si="2"/>
        <v>12</v>
      </c>
      <c r="D27" s="27">
        <v>43435</v>
      </c>
      <c r="E27" s="71">
        <v>87.4</v>
      </c>
      <c r="F27" s="71">
        <v>115.9</v>
      </c>
      <c r="G27" s="71">
        <v>67.7</v>
      </c>
      <c r="H27" s="71">
        <v>113.8</v>
      </c>
      <c r="I27" s="71">
        <v>114.5</v>
      </c>
      <c r="J27" s="71">
        <v>142.30000000000001</v>
      </c>
      <c r="K27" s="71">
        <v>101.8</v>
      </c>
      <c r="L27" s="71">
        <v>91.3</v>
      </c>
      <c r="M27" s="71">
        <v>103.1</v>
      </c>
      <c r="N27" s="71">
        <v>119.1</v>
      </c>
      <c r="O27" s="71">
        <v>84.3</v>
      </c>
      <c r="P27" s="71">
        <v>135.6</v>
      </c>
      <c r="Q27" s="71">
        <v>142.80000000000001</v>
      </c>
      <c r="R27" s="71">
        <v>75</v>
      </c>
      <c r="S27" s="71">
        <v>79.7</v>
      </c>
    </row>
    <row r="28" spans="1:19" x14ac:dyDescent="0.2">
      <c r="A28" s="1" t="str">
        <f t="shared" si="0"/>
        <v>20191</v>
      </c>
      <c r="B28" s="1">
        <f t="shared" si="1"/>
        <v>2019</v>
      </c>
      <c r="C28" s="1">
        <f t="shared" si="2"/>
        <v>1</v>
      </c>
      <c r="D28" s="27">
        <v>43466</v>
      </c>
      <c r="E28" s="69">
        <v>87.6</v>
      </c>
      <c r="F28" s="69">
        <v>84.7</v>
      </c>
      <c r="G28" s="69">
        <v>60.2</v>
      </c>
      <c r="H28" s="69">
        <v>89.1</v>
      </c>
      <c r="I28" s="69">
        <v>88.1</v>
      </c>
      <c r="J28" s="69">
        <v>66.900000000000006</v>
      </c>
      <c r="K28" s="69">
        <v>77.5</v>
      </c>
      <c r="L28" s="69">
        <v>66</v>
      </c>
      <c r="M28" s="69">
        <v>79.599999999999994</v>
      </c>
      <c r="N28" s="69">
        <v>109</v>
      </c>
      <c r="O28" s="69">
        <v>104.5</v>
      </c>
      <c r="P28" s="69">
        <v>92.1</v>
      </c>
      <c r="Q28" s="69">
        <v>86.2</v>
      </c>
      <c r="R28" s="69">
        <v>90</v>
      </c>
      <c r="S28" s="69">
        <v>81.099999999999994</v>
      </c>
    </row>
    <row r="29" spans="1:19" x14ac:dyDescent="0.2">
      <c r="A29" s="1" t="str">
        <f t="shared" si="0"/>
        <v>20192</v>
      </c>
      <c r="B29" s="1">
        <f t="shared" si="1"/>
        <v>2019</v>
      </c>
      <c r="C29" s="1">
        <f t="shared" si="2"/>
        <v>2</v>
      </c>
      <c r="D29" s="27">
        <v>43497</v>
      </c>
      <c r="E29" s="70">
        <v>87.5</v>
      </c>
      <c r="F29" s="70">
        <v>80.5</v>
      </c>
      <c r="G29" s="70">
        <v>58.7</v>
      </c>
      <c r="H29" s="70">
        <v>84.8</v>
      </c>
      <c r="I29" s="70">
        <v>84.3</v>
      </c>
      <c r="J29" s="70">
        <v>63.1</v>
      </c>
      <c r="K29" s="70">
        <v>66.599999999999994</v>
      </c>
      <c r="L29" s="70">
        <v>63.5</v>
      </c>
      <c r="M29" s="70">
        <v>66.5</v>
      </c>
      <c r="N29" s="70">
        <v>102.5</v>
      </c>
      <c r="O29" s="70">
        <v>97.9</v>
      </c>
      <c r="P29" s="70">
        <v>138.19999999999999</v>
      </c>
      <c r="Q29" s="70">
        <v>83.1</v>
      </c>
      <c r="R29" s="70">
        <v>77.900000000000006</v>
      </c>
      <c r="S29" s="70">
        <v>71</v>
      </c>
    </row>
    <row r="30" spans="1:19" x14ac:dyDescent="0.2">
      <c r="A30" s="1" t="str">
        <f t="shared" si="0"/>
        <v>20193</v>
      </c>
      <c r="B30" s="1">
        <f t="shared" si="1"/>
        <v>2019</v>
      </c>
      <c r="C30" s="1">
        <f t="shared" si="2"/>
        <v>3</v>
      </c>
      <c r="D30" s="27">
        <v>43525</v>
      </c>
      <c r="E30" s="70">
        <v>89.6</v>
      </c>
      <c r="F30" s="70">
        <v>85</v>
      </c>
      <c r="G30" s="70">
        <v>61.7</v>
      </c>
      <c r="H30" s="70">
        <v>90.4</v>
      </c>
      <c r="I30" s="70">
        <v>91.1</v>
      </c>
      <c r="J30" s="70">
        <v>64.2</v>
      </c>
      <c r="K30" s="70">
        <v>70</v>
      </c>
      <c r="L30" s="70">
        <v>57.8</v>
      </c>
      <c r="M30" s="70">
        <v>72.599999999999994</v>
      </c>
      <c r="N30" s="70">
        <v>109.4</v>
      </c>
      <c r="O30" s="70">
        <v>46.8</v>
      </c>
      <c r="P30" s="70">
        <v>103.9</v>
      </c>
      <c r="Q30" s="70">
        <v>93.9</v>
      </c>
      <c r="R30" s="70">
        <v>73.599999999999994</v>
      </c>
      <c r="S30" s="70">
        <v>67</v>
      </c>
    </row>
    <row r="31" spans="1:19" x14ac:dyDescent="0.2">
      <c r="A31" s="1" t="str">
        <f t="shared" si="0"/>
        <v>20194</v>
      </c>
      <c r="B31" s="1">
        <f t="shared" si="1"/>
        <v>2019</v>
      </c>
      <c r="C31" s="1">
        <f t="shared" si="2"/>
        <v>4</v>
      </c>
      <c r="D31" s="27">
        <v>43556</v>
      </c>
      <c r="E31" s="70">
        <v>87.1</v>
      </c>
      <c r="F31" s="70">
        <v>81.599999999999994</v>
      </c>
      <c r="G31" s="70">
        <v>58.9</v>
      </c>
      <c r="H31" s="70">
        <v>85.6</v>
      </c>
      <c r="I31" s="70">
        <v>85.6</v>
      </c>
      <c r="J31" s="70">
        <v>65.8</v>
      </c>
      <c r="K31" s="70">
        <v>65.099999999999994</v>
      </c>
      <c r="L31" s="70">
        <v>56.6</v>
      </c>
      <c r="M31" s="70">
        <v>66.7</v>
      </c>
      <c r="N31" s="70">
        <v>106.7</v>
      </c>
      <c r="O31" s="70">
        <v>41.8</v>
      </c>
      <c r="P31" s="70">
        <v>91.4</v>
      </c>
      <c r="Q31" s="70">
        <v>92.7</v>
      </c>
      <c r="R31" s="70">
        <v>82.8</v>
      </c>
      <c r="S31" s="70">
        <v>72.099999999999994</v>
      </c>
    </row>
    <row r="32" spans="1:19" x14ac:dyDescent="0.2">
      <c r="A32" s="1" t="str">
        <f t="shared" si="0"/>
        <v>20195</v>
      </c>
      <c r="B32" s="1">
        <f t="shared" si="1"/>
        <v>2019</v>
      </c>
      <c r="C32" s="1">
        <f t="shared" si="2"/>
        <v>5</v>
      </c>
      <c r="D32" s="27">
        <v>43586</v>
      </c>
      <c r="E32" s="70">
        <v>85.9</v>
      </c>
      <c r="F32" s="70">
        <v>84.5</v>
      </c>
      <c r="G32" s="70">
        <v>59.3</v>
      </c>
      <c r="H32" s="70">
        <v>89.1</v>
      </c>
      <c r="I32" s="70">
        <v>89.8</v>
      </c>
      <c r="J32" s="70">
        <v>74.2</v>
      </c>
      <c r="K32" s="70">
        <v>73.099999999999994</v>
      </c>
      <c r="L32" s="70">
        <v>62.4</v>
      </c>
      <c r="M32" s="70">
        <v>75.099999999999994</v>
      </c>
      <c r="N32" s="70">
        <v>111.8</v>
      </c>
      <c r="O32" s="70">
        <v>43.4</v>
      </c>
      <c r="P32" s="70">
        <v>108.7</v>
      </c>
      <c r="Q32" s="70">
        <v>85.4</v>
      </c>
      <c r="R32" s="70">
        <v>85.1</v>
      </c>
      <c r="S32" s="70">
        <v>78</v>
      </c>
    </row>
    <row r="33" spans="1:19" x14ac:dyDescent="0.2">
      <c r="A33" s="1" t="str">
        <f t="shared" si="0"/>
        <v>20196</v>
      </c>
      <c r="B33" s="1">
        <f t="shared" si="1"/>
        <v>2019</v>
      </c>
      <c r="C33" s="1">
        <f t="shared" si="2"/>
        <v>6</v>
      </c>
      <c r="D33" s="27">
        <v>43617</v>
      </c>
      <c r="E33" s="70">
        <v>87.4</v>
      </c>
      <c r="F33" s="70">
        <v>81.7</v>
      </c>
      <c r="G33" s="70">
        <v>58.9</v>
      </c>
      <c r="H33" s="70">
        <v>86.3</v>
      </c>
      <c r="I33" s="70">
        <v>86.1</v>
      </c>
      <c r="J33" s="70">
        <v>74</v>
      </c>
      <c r="K33" s="70">
        <v>63.4</v>
      </c>
      <c r="L33" s="70">
        <v>56.4</v>
      </c>
      <c r="M33" s="70">
        <v>64.400000000000006</v>
      </c>
      <c r="N33" s="70">
        <v>103.9</v>
      </c>
      <c r="O33" s="70">
        <v>38.9</v>
      </c>
      <c r="P33" s="70">
        <v>79</v>
      </c>
      <c r="Q33" s="70">
        <v>88.9</v>
      </c>
      <c r="R33" s="70">
        <v>86.6</v>
      </c>
      <c r="S33" s="70">
        <v>70.900000000000006</v>
      </c>
    </row>
    <row r="34" spans="1:19" x14ac:dyDescent="0.2">
      <c r="A34" s="1" t="str">
        <f t="shared" si="0"/>
        <v>20197</v>
      </c>
      <c r="B34" s="1">
        <f t="shared" si="1"/>
        <v>2019</v>
      </c>
      <c r="C34" s="1">
        <f t="shared" si="2"/>
        <v>7</v>
      </c>
      <c r="D34" s="27">
        <v>43647</v>
      </c>
      <c r="E34" s="70">
        <v>89.8</v>
      </c>
      <c r="F34" s="70">
        <v>86.6</v>
      </c>
      <c r="G34" s="72">
        <v>60.7</v>
      </c>
      <c r="H34" s="72">
        <v>88.5</v>
      </c>
      <c r="I34" s="72">
        <v>87.6</v>
      </c>
      <c r="J34" s="72">
        <v>82</v>
      </c>
      <c r="K34" s="72">
        <v>81</v>
      </c>
      <c r="L34" s="72">
        <v>71.5</v>
      </c>
      <c r="M34" s="72">
        <v>82.6</v>
      </c>
      <c r="N34" s="72">
        <v>114.6</v>
      </c>
      <c r="O34" s="72">
        <v>44.3</v>
      </c>
      <c r="P34" s="72">
        <v>80.099999999999994</v>
      </c>
      <c r="Q34" s="72">
        <v>90.6</v>
      </c>
      <c r="R34" s="72">
        <v>95.2</v>
      </c>
      <c r="S34" s="72">
        <v>83.7</v>
      </c>
    </row>
    <row r="35" spans="1:19" x14ac:dyDescent="0.2">
      <c r="A35" s="1" t="str">
        <f t="shared" si="0"/>
        <v>20198</v>
      </c>
      <c r="B35" s="1">
        <f t="shared" si="1"/>
        <v>2019</v>
      </c>
      <c r="C35" s="1">
        <f t="shared" si="2"/>
        <v>8</v>
      </c>
      <c r="D35" s="27">
        <v>43678</v>
      </c>
      <c r="E35" s="70">
        <v>88.1</v>
      </c>
      <c r="F35" s="70">
        <v>88.7</v>
      </c>
      <c r="G35" s="72">
        <v>61.7</v>
      </c>
      <c r="H35" s="72">
        <v>94.1</v>
      </c>
      <c r="I35" s="72">
        <v>92.8</v>
      </c>
      <c r="J35" s="72">
        <v>76</v>
      </c>
      <c r="K35" s="72">
        <v>68.5</v>
      </c>
      <c r="L35" s="72">
        <v>67.099999999999994</v>
      </c>
      <c r="M35" s="72">
        <v>68</v>
      </c>
      <c r="N35" s="72">
        <v>114.6</v>
      </c>
      <c r="O35" s="72">
        <v>45.2</v>
      </c>
      <c r="P35" s="72">
        <v>80.8</v>
      </c>
      <c r="Q35" s="72">
        <v>98.8</v>
      </c>
      <c r="R35" s="72">
        <v>82.9</v>
      </c>
      <c r="S35" s="72">
        <v>77.3</v>
      </c>
    </row>
    <row r="36" spans="1:19" x14ac:dyDescent="0.2">
      <c r="A36" s="1" t="str">
        <f t="shared" si="0"/>
        <v>20199</v>
      </c>
      <c r="B36" s="1">
        <f t="shared" si="1"/>
        <v>2019</v>
      </c>
      <c r="C36" s="1">
        <f t="shared" si="2"/>
        <v>9</v>
      </c>
      <c r="D36" s="27">
        <v>43709</v>
      </c>
      <c r="E36" s="70">
        <v>88.6</v>
      </c>
      <c r="F36" s="70">
        <v>84.2</v>
      </c>
      <c r="G36" s="72">
        <v>60.8</v>
      </c>
      <c r="H36" s="72">
        <v>87.2</v>
      </c>
      <c r="I36" s="72">
        <v>85.3</v>
      </c>
      <c r="J36" s="72">
        <v>69.5</v>
      </c>
      <c r="K36" s="72">
        <v>74.2</v>
      </c>
      <c r="L36" s="72">
        <v>65.400000000000006</v>
      </c>
      <c r="M36" s="72">
        <v>75.7</v>
      </c>
      <c r="N36" s="72">
        <v>109.3</v>
      </c>
      <c r="O36" s="72">
        <v>37.9</v>
      </c>
      <c r="P36" s="72">
        <v>85.3</v>
      </c>
      <c r="Q36" s="72">
        <v>94.9</v>
      </c>
      <c r="R36" s="72">
        <v>79.5</v>
      </c>
      <c r="S36" s="72">
        <v>74.8</v>
      </c>
    </row>
    <row r="37" spans="1:19" x14ac:dyDescent="0.2">
      <c r="A37" s="1" t="str">
        <f t="shared" si="0"/>
        <v>201910</v>
      </c>
      <c r="B37" s="1">
        <f t="shared" si="1"/>
        <v>2019</v>
      </c>
      <c r="C37" s="1">
        <f t="shared" si="2"/>
        <v>10</v>
      </c>
      <c r="D37" s="27">
        <v>43739</v>
      </c>
      <c r="E37" s="72">
        <v>88.2</v>
      </c>
      <c r="F37" s="72">
        <v>88.2</v>
      </c>
      <c r="G37" s="25">
        <v>63.6</v>
      </c>
      <c r="H37" s="25">
        <v>92.8</v>
      </c>
      <c r="I37" s="25">
        <v>91.8</v>
      </c>
      <c r="J37" s="25">
        <v>71.900000000000006</v>
      </c>
      <c r="K37" s="26">
        <v>74</v>
      </c>
      <c r="L37" s="25">
        <v>59.5</v>
      </c>
      <c r="M37" s="25">
        <v>77.2</v>
      </c>
      <c r="N37" s="25">
        <v>113.8</v>
      </c>
      <c r="O37" s="25">
        <v>45.3</v>
      </c>
      <c r="P37" s="25">
        <v>121.3</v>
      </c>
      <c r="Q37" s="25">
        <v>95.5</v>
      </c>
      <c r="R37" s="25">
        <v>81.8</v>
      </c>
      <c r="S37" s="25">
        <v>83.4</v>
      </c>
    </row>
    <row r="38" spans="1:19" x14ac:dyDescent="0.2">
      <c r="A38" s="1" t="str">
        <f t="shared" si="0"/>
        <v>201911</v>
      </c>
      <c r="B38" s="1">
        <f t="shared" si="1"/>
        <v>2019</v>
      </c>
      <c r="C38" s="1">
        <f t="shared" si="2"/>
        <v>11</v>
      </c>
      <c r="D38" s="27">
        <v>43770</v>
      </c>
      <c r="E38" s="70">
        <v>89.3</v>
      </c>
      <c r="F38" s="70">
        <v>94.8</v>
      </c>
      <c r="G38" s="68">
        <v>61.5</v>
      </c>
      <c r="H38" s="68">
        <v>94.2</v>
      </c>
      <c r="I38" s="68">
        <v>93.1</v>
      </c>
      <c r="J38" s="68">
        <v>85.2</v>
      </c>
      <c r="K38" s="68">
        <v>92.1</v>
      </c>
      <c r="L38" s="68">
        <v>69.400000000000006</v>
      </c>
      <c r="M38" s="68">
        <v>97.7</v>
      </c>
      <c r="N38" s="68">
        <v>112.3</v>
      </c>
      <c r="O38" s="68">
        <v>43.9</v>
      </c>
      <c r="P38" s="68">
        <v>122.6</v>
      </c>
      <c r="Q38" s="68">
        <v>117.7</v>
      </c>
      <c r="R38" s="68">
        <v>88.8</v>
      </c>
      <c r="S38" s="68">
        <v>82.7</v>
      </c>
    </row>
    <row r="39" spans="1:19" x14ac:dyDescent="0.2">
      <c r="A39" s="1" t="str">
        <f t="shared" si="0"/>
        <v>201912</v>
      </c>
      <c r="B39" s="1">
        <f t="shared" si="1"/>
        <v>2019</v>
      </c>
      <c r="C39" s="1">
        <f t="shared" si="2"/>
        <v>12</v>
      </c>
      <c r="D39" s="29">
        <v>43800</v>
      </c>
      <c r="E39" s="30">
        <v>91.3</v>
      </c>
      <c r="F39" s="30">
        <v>120.6</v>
      </c>
      <c r="G39" s="30">
        <v>66.8</v>
      </c>
      <c r="H39" s="30">
        <v>111.6</v>
      </c>
      <c r="I39" s="30">
        <v>110</v>
      </c>
      <c r="J39" s="30">
        <v>137.80000000000001</v>
      </c>
      <c r="K39" s="30">
        <v>118.7</v>
      </c>
      <c r="L39" s="30">
        <v>99.7</v>
      </c>
      <c r="M39" s="30">
        <v>122.8</v>
      </c>
      <c r="N39" s="30">
        <v>118</v>
      </c>
      <c r="O39" s="30">
        <v>78.099999999999994</v>
      </c>
      <c r="P39" s="30">
        <v>141.69999999999999</v>
      </c>
      <c r="Q39" s="30">
        <v>176.7</v>
      </c>
      <c r="R39" s="30">
        <v>79.099999999999994</v>
      </c>
      <c r="S39" s="30">
        <v>73.900000000000006</v>
      </c>
    </row>
    <row r="40" spans="1:19" x14ac:dyDescent="0.2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5:19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5:19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5:19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x14ac:dyDescent="0.2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x14ac:dyDescent="0.2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x14ac:dyDescent="0.2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x14ac:dyDescent="0.2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x14ac:dyDescent="0.2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x14ac:dyDescent="0.2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x14ac:dyDescent="0.2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5:19" x14ac:dyDescent="0.2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5:19" x14ac:dyDescent="0.2"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5:19" x14ac:dyDescent="0.2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5:19" x14ac:dyDescent="0.2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5:19" x14ac:dyDescent="0.2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5:19" x14ac:dyDescent="0.2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5:19" x14ac:dyDescent="0.2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5:19" x14ac:dyDescent="0.2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5:19" x14ac:dyDescent="0.2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5:19" x14ac:dyDescent="0.2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5:19" x14ac:dyDescent="0.2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5:19" x14ac:dyDescent="0.2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5:19" x14ac:dyDescent="0.2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5:19" x14ac:dyDescent="0.2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5:19" x14ac:dyDescent="0.2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5:19" x14ac:dyDescent="0.2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5:19" x14ac:dyDescent="0.2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5:19" x14ac:dyDescent="0.2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5:19" x14ac:dyDescent="0.2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5:19" x14ac:dyDescent="0.2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5:19" x14ac:dyDescent="0.2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5:19" x14ac:dyDescent="0.2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5:19" x14ac:dyDescent="0.2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5:19" x14ac:dyDescent="0.2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5:19" x14ac:dyDescent="0.2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5:19" x14ac:dyDescent="0.2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5:19" x14ac:dyDescent="0.2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5:19" x14ac:dyDescent="0.2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5:19" x14ac:dyDescent="0.2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5:19" x14ac:dyDescent="0.2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5:19" x14ac:dyDescent="0.2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5:19" x14ac:dyDescent="0.2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5:19" x14ac:dyDescent="0.2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5:19" x14ac:dyDescent="0.2">
      <c r="E100" s="31">
        <v>-6.7742654118137011</v>
      </c>
      <c r="F100" s="31">
        <v>38.754554823235082</v>
      </c>
      <c r="G100" s="31">
        <v>-15.193083594711482</v>
      </c>
      <c r="H100" s="31">
        <v>29.542634503940121</v>
      </c>
      <c r="I100" s="31">
        <v>-8.4677246745863073</v>
      </c>
      <c r="J100" s="31">
        <v>6.0173995231742623</v>
      </c>
      <c r="K100" s="31">
        <v>1.4411929389709144</v>
      </c>
      <c r="L100" s="31">
        <v>-4.4614451994068958</v>
      </c>
      <c r="M100" s="31">
        <v>-3.1438049038436446</v>
      </c>
      <c r="N100" s="31">
        <v>-0.67674486798135547</v>
      </c>
      <c r="O100" s="31">
        <v>5.5804290345730578</v>
      </c>
      <c r="P100" s="31">
        <v>11.52263815093886</v>
      </c>
      <c r="Q100" s="31">
        <v>40.585348570742354</v>
      </c>
      <c r="R100" s="31">
        <v>-16.465397743886612</v>
      </c>
      <c r="S100" s="31">
        <v>-53.191249577380134</v>
      </c>
    </row>
    <row r="101" spans="5:19" x14ac:dyDescent="0.2">
      <c r="E101" s="7">
        <v>-1.1730236326196035</v>
      </c>
      <c r="F101" s="7">
        <v>-84.912465206357808</v>
      </c>
      <c r="G101" s="7">
        <v>-29.426695618509228</v>
      </c>
      <c r="H101" s="7">
        <v>13.932340364923306</v>
      </c>
      <c r="I101" s="7">
        <v>25.055477181593872</v>
      </c>
      <c r="J101" s="7">
        <v>2.6750816015535008</v>
      </c>
      <c r="K101" s="7">
        <v>-7.1207312772234417</v>
      </c>
      <c r="L101" s="7">
        <v>-1.9640911176104936</v>
      </c>
      <c r="M101" s="7">
        <v>3.6331825798507964</v>
      </c>
      <c r="N101" s="7">
        <v>-4.8274647069678593</v>
      </c>
      <c r="O101" s="7">
        <v>119.9868758561245</v>
      </c>
      <c r="P101" s="7">
        <v>-67.882238807063175</v>
      </c>
      <c r="Q101" s="7">
        <v>54.847740378166719</v>
      </c>
      <c r="R101" s="7">
        <v>-9.5725329500419605</v>
      </c>
      <c r="S101" s="7">
        <v>-99.102291053805985</v>
      </c>
    </row>
    <row r="102" spans="5:19" x14ac:dyDescent="0.2">
      <c r="E102" s="32">
        <v>9.2772060545939894</v>
      </c>
      <c r="F102" s="32">
        <v>-33.822264060915003</v>
      </c>
      <c r="G102" s="32">
        <v>4.5391373904465411</v>
      </c>
      <c r="H102" s="32">
        <v>6.8837544736467748</v>
      </c>
      <c r="I102" s="32">
        <v>29.250996065647684</v>
      </c>
      <c r="J102" s="32">
        <v>16.918735355909647</v>
      </c>
      <c r="K102" s="32">
        <v>-0.46104203710906688</v>
      </c>
      <c r="L102" s="32">
        <v>15.583606281037703</v>
      </c>
      <c r="M102" s="32">
        <v>6.3348213310632389</v>
      </c>
      <c r="N102" s="32">
        <v>-5.8585266384803276</v>
      </c>
      <c r="O102" s="32">
        <v>-55.311690354203321</v>
      </c>
      <c r="P102" s="32">
        <v>-54.680862566151191</v>
      </c>
      <c r="Q102" s="32">
        <v>24.32147817089114</v>
      </c>
      <c r="R102" s="32">
        <v>7.2385538772141871</v>
      </c>
      <c r="S102" s="32">
        <v>197.05810620850031</v>
      </c>
    </row>
    <row r="108" spans="5:19" x14ac:dyDescent="0.2">
      <c r="E108" s="33">
        <f>E34-E33</f>
        <v>2.3999999999999915</v>
      </c>
    </row>
  </sheetData>
  <mergeCells count="1">
    <mergeCell ref="E2:S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3" workbookViewId="0">
      <selection activeCell="I41" sqref="I41"/>
    </sheetView>
  </sheetViews>
  <sheetFormatPr defaultRowHeight="11.25" x14ac:dyDescent="0.2"/>
  <cols>
    <col min="1" max="1" width="9.140625" style="6"/>
    <col min="2" max="4" width="9.28515625" style="6" bestFit="1" customWidth="1"/>
    <col min="5" max="5" width="10.85546875" style="6" bestFit="1" customWidth="1"/>
    <col min="6" max="6" width="11.5703125" style="6" bestFit="1" customWidth="1"/>
    <col min="7" max="7" width="12" style="6" bestFit="1" customWidth="1"/>
    <col min="8" max="8" width="11.85546875" style="6" bestFit="1" customWidth="1"/>
    <col min="9" max="10" width="10.42578125" style="6" bestFit="1" customWidth="1"/>
    <col min="11" max="11" width="12.5703125" style="6" bestFit="1" customWidth="1"/>
    <col min="12" max="13" width="11.140625" style="6" bestFit="1" customWidth="1"/>
    <col min="14" max="14" width="11.85546875" style="6" bestFit="1" customWidth="1"/>
    <col min="15" max="16" width="9.28515625" style="6" bestFit="1" customWidth="1"/>
    <col min="17" max="18" width="10.42578125" style="6" bestFit="1" customWidth="1"/>
    <col min="19" max="19" width="9.28515625" style="6" bestFit="1" customWidth="1"/>
    <col min="20" max="16384" width="9.140625" style="6"/>
  </cols>
  <sheetData>
    <row r="1" spans="1:19" x14ac:dyDescent="0.2">
      <c r="E1" s="34" t="s">
        <v>12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E2" s="93" t="s">
        <v>13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01.25" x14ac:dyDescent="0.2">
      <c r="E3" s="66" t="s">
        <v>22</v>
      </c>
      <c r="F3" s="66" t="s">
        <v>23</v>
      </c>
      <c r="G3" s="66" t="s">
        <v>24</v>
      </c>
      <c r="H3" s="66" t="s">
        <v>25</v>
      </c>
      <c r="I3" s="66" t="s">
        <v>26</v>
      </c>
      <c r="J3" s="66" t="s">
        <v>27</v>
      </c>
      <c r="K3" s="66" t="s">
        <v>28</v>
      </c>
      <c r="L3" s="66" t="s">
        <v>29</v>
      </c>
      <c r="M3" s="66" t="s">
        <v>30</v>
      </c>
      <c r="N3" s="66" t="s">
        <v>31</v>
      </c>
      <c r="O3" s="66" t="s">
        <v>32</v>
      </c>
      <c r="P3" s="66" t="s">
        <v>33</v>
      </c>
      <c r="Q3" s="66" t="s">
        <v>34</v>
      </c>
      <c r="R3" s="67" t="s">
        <v>35</v>
      </c>
      <c r="S3" s="67" t="s">
        <v>36</v>
      </c>
    </row>
    <row r="4" spans="1:19" x14ac:dyDescent="0.2">
      <c r="A4" s="6" t="str">
        <f>dados_comercio!A4</f>
        <v>20171</v>
      </c>
      <c r="B4" s="6">
        <f>dados_comercio!B4</f>
        <v>2017</v>
      </c>
      <c r="C4" s="6">
        <f>dados_comercio!C4</f>
        <v>1</v>
      </c>
      <c r="D4" s="27">
        <f>dados_comercio!D4</f>
        <v>42736</v>
      </c>
      <c r="E4" s="73">
        <f>ABS(SUMPRODUCT(dados_comercio!E:E,-(dados_comercio!$B:$B=$B4),-(dados_comercio!$C:$C&lt;=$C4)))</f>
        <v>87.6</v>
      </c>
      <c r="F4" s="73">
        <f>ABS(SUMPRODUCT(dados_comercio!F:F,-(dados_comercio!$B:$B=$B4),-(dados_comercio!$C:$C&lt;=$C4)))</f>
        <v>83.7</v>
      </c>
      <c r="G4" s="73">
        <f>ABS(SUMPRODUCT(dados_comercio!G:G,-(dados_comercio!$B:$B=$B4),-(dados_comercio!$C:$C&lt;=$C4)))</f>
        <v>74</v>
      </c>
      <c r="H4" s="73">
        <f>ABS(SUMPRODUCT(dados_comercio!H:H,-(dados_comercio!$B:$B=$B4),-(dados_comercio!$C:$C&lt;=$C4)))</f>
        <v>87.6</v>
      </c>
      <c r="I4" s="73">
        <f>ABS(SUMPRODUCT(dados_comercio!I:I,-(dados_comercio!$B:$B=$B4),-(dados_comercio!$C:$C&lt;=$C4)))</f>
        <v>88.8</v>
      </c>
      <c r="J4" s="73">
        <f>ABS(SUMPRODUCT(dados_comercio!J:J,-(dados_comercio!$B:$B=$B4),-(dados_comercio!$C:$C&lt;=$C4)))</f>
        <v>64.599999999999994</v>
      </c>
      <c r="K4" s="73">
        <f>ABS(SUMPRODUCT(dados_comercio!K:K,-(dados_comercio!$B:$B=$B4),-(dados_comercio!$C:$C&lt;=$C4)))</f>
        <v>72.099999999999994</v>
      </c>
      <c r="L4" s="73">
        <f>ABS(SUMPRODUCT(dados_comercio!L:L,-(dados_comercio!$B:$B=$B4),-(dados_comercio!$C:$C&lt;=$C4)))</f>
        <v>63.4</v>
      </c>
      <c r="M4" s="73">
        <f>ABS(SUMPRODUCT(dados_comercio!M:M,-(dados_comercio!$B:$B=$B4),-(dados_comercio!$C:$C&lt;=$C4)))</f>
        <v>72.3</v>
      </c>
      <c r="N4" s="73">
        <f>ABS(SUMPRODUCT(dados_comercio!N:N,-(dados_comercio!$B:$B=$B4),-(dados_comercio!$C:$C&lt;=$C4)))</f>
        <v>99.9</v>
      </c>
      <c r="O4" s="73">
        <f>ABS(SUMPRODUCT(dados_comercio!O:O,-(dados_comercio!$B:$B=$B4),-(dados_comercio!$C:$C&lt;=$C4)))</f>
        <v>118.2</v>
      </c>
      <c r="P4" s="73">
        <f>ABS(SUMPRODUCT(dados_comercio!P:P,-(dados_comercio!$B:$B=$B4),-(dados_comercio!$C:$C&lt;=$C4)))</f>
        <v>75.8</v>
      </c>
      <c r="Q4" s="73">
        <f>ABS(SUMPRODUCT(dados_comercio!Q:Q,-(dados_comercio!$B:$B=$B4),-(dados_comercio!$C:$C&lt;=$C4)))</f>
        <v>86.7</v>
      </c>
      <c r="R4" s="73">
        <f>ABS(SUMPRODUCT(dados_comercio!R:R,-(dados_comercio!$B:$B=$B4),-(dados_comercio!$C:$C&lt;=$C4)))</f>
        <v>66.5</v>
      </c>
      <c r="S4" s="73">
        <f>ABS(SUMPRODUCT(dados_comercio!S:S,-(dados_comercio!$B:$B=$B4),-(dados_comercio!$C:$C&lt;=$C4)))</f>
        <v>86</v>
      </c>
    </row>
    <row r="5" spans="1:19" x14ac:dyDescent="0.2">
      <c r="A5" s="6" t="str">
        <f>dados_comercio!A5</f>
        <v>20172</v>
      </c>
      <c r="B5" s="6">
        <f>dados_comercio!B5</f>
        <v>2017</v>
      </c>
      <c r="C5" s="6">
        <f>dados_comercio!C5</f>
        <v>2</v>
      </c>
      <c r="D5" s="27">
        <f>dados_comercio!D5</f>
        <v>42767</v>
      </c>
      <c r="E5" s="73">
        <f>ABS(SUMPRODUCT(dados_comercio!E:E,-(dados_comercio!$B:$B=$B5),-(dados_comercio!$C:$C&lt;=$C5)))</f>
        <v>176</v>
      </c>
      <c r="F5" s="73">
        <f>ABS(SUMPRODUCT(dados_comercio!F:F,-(dados_comercio!$B:$B=$B5),-(dados_comercio!$C:$C&lt;=$C5)))</f>
        <v>162.4</v>
      </c>
      <c r="G5" s="73">
        <f>ABS(SUMPRODUCT(dados_comercio!G:G,-(dados_comercio!$B:$B=$B5),-(dados_comercio!$C:$C&lt;=$C5)))</f>
        <v>143.6</v>
      </c>
      <c r="H5" s="73">
        <f>ABS(SUMPRODUCT(dados_comercio!H:H,-(dados_comercio!$B:$B=$B5),-(dados_comercio!$C:$C&lt;=$C5)))</f>
        <v>175.89999999999998</v>
      </c>
      <c r="I5" s="73">
        <f>ABS(SUMPRODUCT(dados_comercio!I:I,-(dados_comercio!$B:$B=$B5),-(dados_comercio!$C:$C&lt;=$C5)))</f>
        <v>178.89999999999998</v>
      </c>
      <c r="J5" s="73">
        <f>ABS(SUMPRODUCT(dados_comercio!J:J,-(dados_comercio!$B:$B=$B5),-(dados_comercio!$C:$C&lt;=$C5)))</f>
        <v>121.39999999999999</v>
      </c>
      <c r="K5" s="73">
        <f>ABS(SUMPRODUCT(dados_comercio!K:K,-(dados_comercio!$B:$B=$B5),-(dados_comercio!$C:$C&lt;=$C5)))</f>
        <v>130.6</v>
      </c>
      <c r="L5" s="73">
        <f>ABS(SUMPRODUCT(dados_comercio!L:L,-(dados_comercio!$B:$B=$B5),-(dados_comercio!$C:$C&lt;=$C5)))</f>
        <v>116.5</v>
      </c>
      <c r="M5" s="73">
        <f>ABS(SUMPRODUCT(dados_comercio!M:M,-(dados_comercio!$B:$B=$B5),-(dados_comercio!$C:$C&lt;=$C5)))</f>
        <v>130.80000000000001</v>
      </c>
      <c r="N5" s="73">
        <f>ABS(SUMPRODUCT(dados_comercio!N:N,-(dados_comercio!$B:$B=$B5),-(dados_comercio!$C:$C&lt;=$C5)))</f>
        <v>191.60000000000002</v>
      </c>
      <c r="O5" s="73">
        <f>ABS(SUMPRODUCT(dados_comercio!O:O,-(dados_comercio!$B:$B=$B5),-(dados_comercio!$C:$C&lt;=$C5)))</f>
        <v>223.8</v>
      </c>
      <c r="P5" s="73">
        <f>ABS(SUMPRODUCT(dados_comercio!P:P,-(dados_comercio!$B:$B=$B5),-(dados_comercio!$C:$C&lt;=$C5)))</f>
        <v>168.1</v>
      </c>
      <c r="Q5" s="73">
        <f>ABS(SUMPRODUCT(dados_comercio!Q:Q,-(dados_comercio!$B:$B=$B5),-(dados_comercio!$C:$C&lt;=$C5)))</f>
        <v>157.80000000000001</v>
      </c>
      <c r="R5" s="73">
        <f>ABS(SUMPRODUCT(dados_comercio!R:R,-(dados_comercio!$B:$B=$B5),-(dados_comercio!$C:$C&lt;=$C5)))</f>
        <v>125.4</v>
      </c>
      <c r="S5" s="73">
        <f>ABS(SUMPRODUCT(dados_comercio!S:S,-(dados_comercio!$B:$B=$B5),-(dados_comercio!$C:$C&lt;=$C5)))</f>
        <v>163.80000000000001</v>
      </c>
    </row>
    <row r="6" spans="1:19" x14ac:dyDescent="0.2">
      <c r="A6" s="6" t="str">
        <f>dados_comercio!A6</f>
        <v>20173</v>
      </c>
      <c r="B6" s="6">
        <f>dados_comercio!B6</f>
        <v>2017</v>
      </c>
      <c r="C6" s="6">
        <f>dados_comercio!C6</f>
        <v>3</v>
      </c>
      <c r="D6" s="27">
        <f>dados_comercio!D6</f>
        <v>42795</v>
      </c>
      <c r="E6" s="73">
        <f>ABS(SUMPRODUCT(dados_comercio!E:E,-(dados_comercio!$B:$B=$B6),-(dados_comercio!$C:$C&lt;=$C6)))</f>
        <v>262</v>
      </c>
      <c r="F6" s="73">
        <f>ABS(SUMPRODUCT(dados_comercio!F:F,-(dados_comercio!$B:$B=$B6),-(dados_comercio!$C:$C&lt;=$C6)))</f>
        <v>246.60000000000002</v>
      </c>
      <c r="G6" s="73">
        <f>ABS(SUMPRODUCT(dados_comercio!G:G,-(dados_comercio!$B:$B=$B6),-(dados_comercio!$C:$C&lt;=$C6)))</f>
        <v>219.1</v>
      </c>
      <c r="H6" s="73">
        <f>ABS(SUMPRODUCT(dados_comercio!H:H,-(dados_comercio!$B:$B=$B6),-(dados_comercio!$C:$C&lt;=$C6)))</f>
        <v>262.7</v>
      </c>
      <c r="I6" s="73">
        <f>ABS(SUMPRODUCT(dados_comercio!I:I,-(dados_comercio!$B:$B=$B6),-(dados_comercio!$C:$C&lt;=$C6)))</f>
        <v>265.39999999999998</v>
      </c>
      <c r="J6" s="73">
        <f>ABS(SUMPRODUCT(dados_comercio!J:J,-(dados_comercio!$B:$B=$B6),-(dados_comercio!$C:$C&lt;=$C6)))</f>
        <v>192.5</v>
      </c>
      <c r="K6" s="73">
        <f>ABS(SUMPRODUCT(dados_comercio!K:K,-(dados_comercio!$B:$B=$B6),-(dados_comercio!$C:$C&lt;=$C6)))</f>
        <v>201.5</v>
      </c>
      <c r="L6" s="73">
        <f>ABS(SUMPRODUCT(dados_comercio!L:L,-(dados_comercio!$B:$B=$B6),-(dados_comercio!$C:$C&lt;=$C6)))</f>
        <v>178.1</v>
      </c>
      <c r="M6" s="73">
        <f>ABS(SUMPRODUCT(dados_comercio!M:M,-(dados_comercio!$B:$B=$B6),-(dados_comercio!$C:$C&lt;=$C6)))</f>
        <v>203</v>
      </c>
      <c r="N6" s="73">
        <f>ABS(SUMPRODUCT(dados_comercio!N:N,-(dados_comercio!$B:$B=$B6),-(dados_comercio!$C:$C&lt;=$C6)))</f>
        <v>295.3</v>
      </c>
      <c r="O6" s="73">
        <f>ABS(SUMPRODUCT(dados_comercio!O:O,-(dados_comercio!$B:$B=$B6),-(dados_comercio!$C:$C&lt;=$C6)))</f>
        <v>299.60000000000002</v>
      </c>
      <c r="P6" s="73">
        <f>ABS(SUMPRODUCT(dados_comercio!P:P,-(dados_comercio!$B:$B=$B6),-(dados_comercio!$C:$C&lt;=$C6)))</f>
        <v>284.8</v>
      </c>
      <c r="Q6" s="73">
        <f>ABS(SUMPRODUCT(dados_comercio!Q:Q,-(dados_comercio!$B:$B=$B6),-(dados_comercio!$C:$C&lt;=$C6)))</f>
        <v>243.9</v>
      </c>
      <c r="R6" s="73">
        <f>ABS(SUMPRODUCT(dados_comercio!R:R,-(dados_comercio!$B:$B=$B6),-(dados_comercio!$C:$C&lt;=$C6)))</f>
        <v>203.9</v>
      </c>
      <c r="S6" s="73">
        <f>ABS(SUMPRODUCT(dados_comercio!S:S,-(dados_comercio!$B:$B=$B6),-(dados_comercio!$C:$C&lt;=$C6)))</f>
        <v>255</v>
      </c>
    </row>
    <row r="7" spans="1:19" x14ac:dyDescent="0.2">
      <c r="A7" s="6" t="str">
        <f>dados_comercio!A7</f>
        <v>20174</v>
      </c>
      <c r="B7" s="6">
        <f>dados_comercio!B7</f>
        <v>2017</v>
      </c>
      <c r="C7" s="6">
        <f>dados_comercio!C7</f>
        <v>4</v>
      </c>
      <c r="D7" s="27">
        <f>dados_comercio!D7</f>
        <v>42826</v>
      </c>
      <c r="E7" s="73">
        <f>ABS(SUMPRODUCT(dados_comercio!E:E,-(dados_comercio!$B:$B=$B7),-(dados_comercio!$C:$C&lt;=$C7)))</f>
        <v>349.3</v>
      </c>
      <c r="F7" s="73">
        <f>ABS(SUMPRODUCT(dados_comercio!F:F,-(dados_comercio!$B:$B=$B7),-(dados_comercio!$C:$C&lt;=$C7)))</f>
        <v>328.5</v>
      </c>
      <c r="G7" s="73">
        <f>ABS(SUMPRODUCT(dados_comercio!G:G,-(dados_comercio!$B:$B=$B7),-(dados_comercio!$C:$C&lt;=$C7)))</f>
        <v>288.60000000000002</v>
      </c>
      <c r="H7" s="73">
        <f>ABS(SUMPRODUCT(dados_comercio!H:H,-(dados_comercio!$B:$B=$B7),-(dados_comercio!$C:$C&lt;=$C7)))</f>
        <v>346.79999999999995</v>
      </c>
      <c r="I7" s="73">
        <f>ABS(SUMPRODUCT(dados_comercio!I:I,-(dados_comercio!$B:$B=$B7),-(dados_comercio!$C:$C&lt;=$C7)))</f>
        <v>349.9</v>
      </c>
      <c r="J7" s="73">
        <f>ABS(SUMPRODUCT(dados_comercio!J:J,-(dados_comercio!$B:$B=$B7),-(dados_comercio!$C:$C&lt;=$C7)))</f>
        <v>267.8</v>
      </c>
      <c r="K7" s="73">
        <f>ABS(SUMPRODUCT(dados_comercio!K:K,-(dados_comercio!$B:$B=$B7),-(dados_comercio!$C:$C&lt;=$C7)))</f>
        <v>262.2</v>
      </c>
      <c r="L7" s="73">
        <f>ABS(SUMPRODUCT(dados_comercio!L:L,-(dados_comercio!$B:$B=$B7),-(dados_comercio!$C:$C&lt;=$C7)))</f>
        <v>237.3</v>
      </c>
      <c r="M7" s="73">
        <f>ABS(SUMPRODUCT(dados_comercio!M:M,-(dados_comercio!$B:$B=$B7),-(dados_comercio!$C:$C&lt;=$C7)))</f>
        <v>262.7</v>
      </c>
      <c r="N7" s="73">
        <f>ABS(SUMPRODUCT(dados_comercio!N:N,-(dados_comercio!$B:$B=$B7),-(dados_comercio!$C:$C&lt;=$C7)))</f>
        <v>397.70000000000005</v>
      </c>
      <c r="O7" s="73">
        <f>ABS(SUMPRODUCT(dados_comercio!O:O,-(dados_comercio!$B:$B=$B7),-(dados_comercio!$C:$C&lt;=$C7)))</f>
        <v>353.5</v>
      </c>
      <c r="P7" s="73">
        <f>ABS(SUMPRODUCT(dados_comercio!P:P,-(dados_comercio!$B:$B=$B7),-(dados_comercio!$C:$C&lt;=$C7)))</f>
        <v>392.70000000000005</v>
      </c>
      <c r="Q7" s="73">
        <f>ABS(SUMPRODUCT(dados_comercio!Q:Q,-(dados_comercio!$B:$B=$B7),-(dados_comercio!$C:$C&lt;=$C7)))</f>
        <v>333.5</v>
      </c>
      <c r="R7" s="73">
        <f>ABS(SUMPRODUCT(dados_comercio!R:R,-(dados_comercio!$B:$B=$B7),-(dados_comercio!$C:$C&lt;=$C7)))</f>
        <v>267.5</v>
      </c>
      <c r="S7" s="73">
        <f>ABS(SUMPRODUCT(dados_comercio!S:S,-(dados_comercio!$B:$B=$B7),-(dados_comercio!$C:$C&lt;=$C7)))</f>
        <v>333.2</v>
      </c>
    </row>
    <row r="8" spans="1:19" x14ac:dyDescent="0.2">
      <c r="A8" s="6" t="str">
        <f>dados_comercio!A8</f>
        <v>20175</v>
      </c>
      <c r="B8" s="6">
        <f>dados_comercio!B8</f>
        <v>2017</v>
      </c>
      <c r="C8" s="6">
        <f>dados_comercio!C8</f>
        <v>5</v>
      </c>
      <c r="D8" s="27">
        <f>dados_comercio!D8</f>
        <v>42856</v>
      </c>
      <c r="E8" s="73">
        <f>ABS(SUMPRODUCT(dados_comercio!E:E,-(dados_comercio!$B:$B=$B8),-(dados_comercio!$C:$C&lt;=$C8)))</f>
        <v>437</v>
      </c>
      <c r="F8" s="73">
        <f>ABS(SUMPRODUCT(dados_comercio!F:F,-(dados_comercio!$B:$B=$B8),-(dados_comercio!$C:$C&lt;=$C8)))</f>
        <v>414.6</v>
      </c>
      <c r="G8" s="73">
        <f>ABS(SUMPRODUCT(dados_comercio!G:G,-(dados_comercio!$B:$B=$B8),-(dados_comercio!$C:$C&lt;=$C8)))</f>
        <v>361.1</v>
      </c>
      <c r="H8" s="73">
        <f>ABS(SUMPRODUCT(dados_comercio!H:H,-(dados_comercio!$B:$B=$B8),-(dados_comercio!$C:$C&lt;=$C8)))</f>
        <v>434.9</v>
      </c>
      <c r="I8" s="73">
        <f>ABS(SUMPRODUCT(dados_comercio!I:I,-(dados_comercio!$B:$B=$B8),-(dados_comercio!$C:$C&lt;=$C8)))</f>
        <v>439</v>
      </c>
      <c r="J8" s="73">
        <f>ABS(SUMPRODUCT(dados_comercio!J:J,-(dados_comercio!$B:$B=$B8),-(dados_comercio!$C:$C&lt;=$C8)))</f>
        <v>350.1</v>
      </c>
      <c r="K8" s="73">
        <f>ABS(SUMPRODUCT(dados_comercio!K:K,-(dados_comercio!$B:$B=$B8),-(dados_comercio!$C:$C&lt;=$C8)))</f>
        <v>333.29999999999995</v>
      </c>
      <c r="L8" s="73">
        <f>ABS(SUMPRODUCT(dados_comercio!L:L,-(dados_comercio!$B:$B=$B8),-(dados_comercio!$C:$C&lt;=$C8)))</f>
        <v>301.2</v>
      </c>
      <c r="M8" s="73">
        <f>ABS(SUMPRODUCT(dados_comercio!M:M,-(dados_comercio!$B:$B=$B8),-(dados_comercio!$C:$C&lt;=$C8)))</f>
        <v>334.79999999999995</v>
      </c>
      <c r="N8" s="73">
        <f>ABS(SUMPRODUCT(dados_comercio!N:N,-(dados_comercio!$B:$B=$B8),-(dados_comercio!$C:$C&lt;=$C8)))</f>
        <v>507.1</v>
      </c>
      <c r="O8" s="73">
        <f>ABS(SUMPRODUCT(dados_comercio!O:O,-(dados_comercio!$B:$B=$B8),-(dados_comercio!$C:$C&lt;=$C8)))</f>
        <v>410.7</v>
      </c>
      <c r="P8" s="73">
        <f>ABS(SUMPRODUCT(dados_comercio!P:P,-(dados_comercio!$B:$B=$B8),-(dados_comercio!$C:$C&lt;=$C8)))</f>
        <v>508.80000000000007</v>
      </c>
      <c r="Q8" s="73">
        <f>ABS(SUMPRODUCT(dados_comercio!Q:Q,-(dados_comercio!$B:$B=$B8),-(dados_comercio!$C:$C&lt;=$C8)))</f>
        <v>420.6</v>
      </c>
      <c r="R8" s="73">
        <f>ABS(SUMPRODUCT(dados_comercio!R:R,-(dados_comercio!$B:$B=$B8),-(dados_comercio!$C:$C&lt;=$C8)))</f>
        <v>345.1</v>
      </c>
      <c r="S8" s="73">
        <f>ABS(SUMPRODUCT(dados_comercio!S:S,-(dados_comercio!$B:$B=$B8),-(dados_comercio!$C:$C&lt;=$C8)))</f>
        <v>415.5</v>
      </c>
    </row>
    <row r="9" spans="1:19" x14ac:dyDescent="0.2">
      <c r="A9" s="6" t="str">
        <f>dados_comercio!A9</f>
        <v>20176</v>
      </c>
      <c r="B9" s="6">
        <f>dados_comercio!B9</f>
        <v>2017</v>
      </c>
      <c r="C9" s="6">
        <f>dados_comercio!C9</f>
        <v>6</v>
      </c>
      <c r="D9" s="27">
        <f>dados_comercio!D9</f>
        <v>42887</v>
      </c>
      <c r="E9" s="73">
        <f>ABS(SUMPRODUCT(dados_comercio!E:E,-(dados_comercio!$B:$B=$B9),-(dados_comercio!$C:$C&lt;=$C9)))</f>
        <v>525.1</v>
      </c>
      <c r="F9" s="73">
        <f>ABS(SUMPRODUCT(dados_comercio!F:F,-(dados_comercio!$B:$B=$B9),-(dados_comercio!$C:$C&lt;=$C9)))</f>
        <v>497.5</v>
      </c>
      <c r="G9" s="73">
        <f>ABS(SUMPRODUCT(dados_comercio!G:G,-(dados_comercio!$B:$B=$B9),-(dados_comercio!$C:$C&lt;=$C9)))</f>
        <v>433.6</v>
      </c>
      <c r="H9" s="73">
        <f>ABS(SUMPRODUCT(dados_comercio!H:H,-(dados_comercio!$B:$B=$B9),-(dados_comercio!$C:$C&lt;=$C9)))</f>
        <v>519.5</v>
      </c>
      <c r="I9" s="73">
        <f>ABS(SUMPRODUCT(dados_comercio!I:I,-(dados_comercio!$B:$B=$B9),-(dados_comercio!$C:$C&lt;=$C9)))</f>
        <v>524</v>
      </c>
      <c r="J9" s="73">
        <f>ABS(SUMPRODUCT(dados_comercio!J:J,-(dados_comercio!$B:$B=$B9),-(dados_comercio!$C:$C&lt;=$C9)))</f>
        <v>427.3</v>
      </c>
      <c r="K9" s="73">
        <f>ABS(SUMPRODUCT(dados_comercio!K:K,-(dados_comercio!$B:$B=$B9),-(dados_comercio!$C:$C&lt;=$C9)))</f>
        <v>400.4</v>
      </c>
      <c r="L9" s="73">
        <f>ABS(SUMPRODUCT(dados_comercio!L:L,-(dados_comercio!$B:$B=$B9),-(dados_comercio!$C:$C&lt;=$C9)))</f>
        <v>366.6</v>
      </c>
      <c r="M9" s="73">
        <f>ABS(SUMPRODUCT(dados_comercio!M:M,-(dados_comercio!$B:$B=$B9),-(dados_comercio!$C:$C&lt;=$C9)))</f>
        <v>401.19999999999993</v>
      </c>
      <c r="N9" s="73">
        <f>ABS(SUMPRODUCT(dados_comercio!N:N,-(dados_comercio!$B:$B=$B9),-(dados_comercio!$C:$C&lt;=$C9)))</f>
        <v>610.9</v>
      </c>
      <c r="O9" s="73">
        <f>ABS(SUMPRODUCT(dados_comercio!O:O,-(dados_comercio!$B:$B=$B9),-(dados_comercio!$C:$C&lt;=$C9)))</f>
        <v>464.4</v>
      </c>
      <c r="P9" s="73">
        <f>ABS(SUMPRODUCT(dados_comercio!P:P,-(dados_comercio!$B:$B=$B9),-(dados_comercio!$C:$C&lt;=$C9)))</f>
        <v>619.00000000000011</v>
      </c>
      <c r="Q9" s="73">
        <f>ABS(SUMPRODUCT(dados_comercio!Q:Q,-(dados_comercio!$B:$B=$B9),-(dados_comercio!$C:$C&lt;=$C9)))</f>
        <v>506.8</v>
      </c>
      <c r="R9" s="73">
        <f>ABS(SUMPRODUCT(dados_comercio!R:R,-(dados_comercio!$B:$B=$B9),-(dados_comercio!$C:$C&lt;=$C9)))</f>
        <v>416</v>
      </c>
      <c r="S9" s="73">
        <f>ABS(SUMPRODUCT(dados_comercio!S:S,-(dados_comercio!$B:$B=$B9),-(dados_comercio!$C:$C&lt;=$C9)))</f>
        <v>493.5</v>
      </c>
    </row>
    <row r="10" spans="1:19" x14ac:dyDescent="0.2">
      <c r="A10" s="6" t="str">
        <f>dados_comercio!A10</f>
        <v>20177</v>
      </c>
      <c r="B10" s="6">
        <f>dados_comercio!B10</f>
        <v>2017</v>
      </c>
      <c r="C10" s="6">
        <f>dados_comercio!C10</f>
        <v>7</v>
      </c>
      <c r="D10" s="27">
        <f>dados_comercio!D10</f>
        <v>42917</v>
      </c>
      <c r="E10" s="73">
        <f>ABS(SUMPRODUCT(dados_comercio!E:E,-(dados_comercio!$B:$B=$B10),-(dados_comercio!$C:$C&lt;=$C10)))</f>
        <v>614</v>
      </c>
      <c r="F10" s="73">
        <f>ABS(SUMPRODUCT(dados_comercio!F:F,-(dados_comercio!$B:$B=$B10),-(dados_comercio!$C:$C&lt;=$C10)))</f>
        <v>582.6</v>
      </c>
      <c r="G10" s="73">
        <f>ABS(SUMPRODUCT(dados_comercio!G:G,-(dados_comercio!$B:$B=$B10),-(dados_comercio!$C:$C&lt;=$C10)))</f>
        <v>503.1</v>
      </c>
      <c r="H10" s="73">
        <f>ABS(SUMPRODUCT(dados_comercio!H:H,-(dados_comercio!$B:$B=$B10),-(dados_comercio!$C:$C&lt;=$C10)))</f>
        <v>609.6</v>
      </c>
      <c r="I10" s="73">
        <f>ABS(SUMPRODUCT(dados_comercio!I:I,-(dados_comercio!$B:$B=$B10),-(dados_comercio!$C:$C&lt;=$C10)))</f>
        <v>613.5</v>
      </c>
      <c r="J10" s="73">
        <f>ABS(SUMPRODUCT(dados_comercio!J:J,-(dados_comercio!$B:$B=$B10),-(dados_comercio!$C:$C&lt;=$C10)))</f>
        <v>509.70000000000005</v>
      </c>
      <c r="K10" s="73">
        <f>ABS(SUMPRODUCT(dados_comercio!K:K,-(dados_comercio!$B:$B=$B10),-(dados_comercio!$C:$C&lt;=$C10)))</f>
        <v>468.29999999999995</v>
      </c>
      <c r="L10" s="73">
        <f>ABS(SUMPRODUCT(dados_comercio!L:L,-(dados_comercio!$B:$B=$B10),-(dados_comercio!$C:$C&lt;=$C10)))</f>
        <v>434</v>
      </c>
      <c r="M10" s="73">
        <f>ABS(SUMPRODUCT(dados_comercio!M:M,-(dados_comercio!$B:$B=$B10),-(dados_comercio!$C:$C&lt;=$C10)))</f>
        <v>467.99999999999994</v>
      </c>
      <c r="N10" s="73">
        <f>ABS(SUMPRODUCT(dados_comercio!N:N,-(dados_comercio!$B:$B=$B10),-(dados_comercio!$C:$C&lt;=$C10)))</f>
        <v>717.8</v>
      </c>
      <c r="O10" s="73">
        <f>ABS(SUMPRODUCT(dados_comercio!O:O,-(dados_comercio!$B:$B=$B10),-(dados_comercio!$C:$C&lt;=$C10)))</f>
        <v>519.79999999999995</v>
      </c>
      <c r="P10" s="73">
        <f>ABS(SUMPRODUCT(dados_comercio!P:P,-(dados_comercio!$B:$B=$B10),-(dados_comercio!$C:$C&lt;=$C10)))</f>
        <v>695.50000000000011</v>
      </c>
      <c r="Q10" s="73">
        <f>ABS(SUMPRODUCT(dados_comercio!Q:Q,-(dados_comercio!$B:$B=$B10),-(dados_comercio!$C:$C&lt;=$C10)))</f>
        <v>588.79999999999995</v>
      </c>
      <c r="R10" s="73">
        <f>ABS(SUMPRODUCT(dados_comercio!R:R,-(dados_comercio!$B:$B=$B10),-(dados_comercio!$C:$C&lt;=$C10)))</f>
        <v>481.7</v>
      </c>
      <c r="S10" s="73">
        <f>ABS(SUMPRODUCT(dados_comercio!S:S,-(dados_comercio!$B:$B=$B10),-(dados_comercio!$C:$C&lt;=$C10)))</f>
        <v>577.4</v>
      </c>
    </row>
    <row r="11" spans="1:19" x14ac:dyDescent="0.2">
      <c r="A11" s="6" t="str">
        <f>dados_comercio!A11</f>
        <v>20178</v>
      </c>
      <c r="B11" s="6">
        <f>dados_comercio!B11</f>
        <v>2017</v>
      </c>
      <c r="C11" s="6">
        <f>dados_comercio!C11</f>
        <v>8</v>
      </c>
      <c r="D11" s="27">
        <f>dados_comercio!D11</f>
        <v>42948</v>
      </c>
      <c r="E11" s="73">
        <f>ABS(SUMPRODUCT(dados_comercio!E:E,-(dados_comercio!$B:$B=$B11),-(dados_comercio!$C:$C&lt;=$C11)))</f>
        <v>701.5</v>
      </c>
      <c r="F11" s="73">
        <f>ABS(SUMPRODUCT(dados_comercio!F:F,-(dados_comercio!$B:$B=$B11),-(dados_comercio!$C:$C&lt;=$C11)))</f>
        <v>669.7</v>
      </c>
      <c r="G11" s="73">
        <f>ABS(SUMPRODUCT(dados_comercio!G:G,-(dados_comercio!$B:$B=$B11),-(dados_comercio!$C:$C&lt;=$C11)))</f>
        <v>571.1</v>
      </c>
      <c r="H11" s="73">
        <f>ABS(SUMPRODUCT(dados_comercio!H:H,-(dados_comercio!$B:$B=$B11),-(dados_comercio!$C:$C&lt;=$C11)))</f>
        <v>702.7</v>
      </c>
      <c r="I11" s="73">
        <f>ABS(SUMPRODUCT(dados_comercio!I:I,-(dados_comercio!$B:$B=$B11),-(dados_comercio!$C:$C&lt;=$C11)))</f>
        <v>706</v>
      </c>
      <c r="J11" s="73">
        <f>ABS(SUMPRODUCT(dados_comercio!J:J,-(dados_comercio!$B:$B=$B11),-(dados_comercio!$C:$C&lt;=$C11)))</f>
        <v>588.6</v>
      </c>
      <c r="K11" s="73">
        <f>ABS(SUMPRODUCT(dados_comercio!K:K,-(dados_comercio!$B:$B=$B11),-(dados_comercio!$C:$C&lt;=$C11)))</f>
        <v>537.19999999999993</v>
      </c>
      <c r="L11" s="73">
        <f>ABS(SUMPRODUCT(dados_comercio!L:L,-(dados_comercio!$B:$B=$B11),-(dados_comercio!$C:$C&lt;=$C11)))</f>
        <v>504.1</v>
      </c>
      <c r="M11" s="73">
        <f>ABS(SUMPRODUCT(dados_comercio!M:M,-(dados_comercio!$B:$B=$B11),-(dados_comercio!$C:$C&lt;=$C11)))</f>
        <v>535.29999999999995</v>
      </c>
      <c r="N11" s="73">
        <f>ABS(SUMPRODUCT(dados_comercio!N:N,-(dados_comercio!$B:$B=$B11),-(dados_comercio!$C:$C&lt;=$C11)))</f>
        <v>826.19999999999993</v>
      </c>
      <c r="O11" s="73">
        <f>ABS(SUMPRODUCT(dados_comercio!O:O,-(dados_comercio!$B:$B=$B11),-(dados_comercio!$C:$C&lt;=$C11)))</f>
        <v>575.19999999999993</v>
      </c>
      <c r="P11" s="73">
        <f>ABS(SUMPRODUCT(dados_comercio!P:P,-(dados_comercio!$B:$B=$B11),-(dados_comercio!$C:$C&lt;=$C11)))</f>
        <v>773.20000000000016</v>
      </c>
      <c r="Q11" s="73">
        <f>ABS(SUMPRODUCT(dados_comercio!Q:Q,-(dados_comercio!$B:$B=$B11),-(dados_comercio!$C:$C&lt;=$C11)))</f>
        <v>676.4</v>
      </c>
      <c r="R11" s="73">
        <f>ABS(SUMPRODUCT(dados_comercio!R:R,-(dados_comercio!$B:$B=$B11),-(dados_comercio!$C:$C&lt;=$C11)))</f>
        <v>555.1</v>
      </c>
      <c r="S11" s="73">
        <f>ABS(SUMPRODUCT(dados_comercio!S:S,-(dados_comercio!$B:$B=$B11),-(dados_comercio!$C:$C&lt;=$C11)))</f>
        <v>669.3</v>
      </c>
    </row>
    <row r="12" spans="1:19" x14ac:dyDescent="0.2">
      <c r="A12" s="6" t="str">
        <f>dados_comercio!A12</f>
        <v>20179</v>
      </c>
      <c r="B12" s="6">
        <f>dados_comercio!B12</f>
        <v>2017</v>
      </c>
      <c r="C12" s="6">
        <f>dados_comercio!C12</f>
        <v>9</v>
      </c>
      <c r="D12" s="27">
        <f>dados_comercio!D12</f>
        <v>42979</v>
      </c>
      <c r="E12" s="73">
        <f>ABS(SUMPRODUCT(dados_comercio!E:E,-(dados_comercio!$B:$B=$B12),-(dados_comercio!$C:$C&lt;=$C12)))</f>
        <v>790.2</v>
      </c>
      <c r="F12" s="73">
        <f>ABS(SUMPRODUCT(dados_comercio!F:F,-(dados_comercio!$B:$B=$B12),-(dados_comercio!$C:$C&lt;=$C12)))</f>
        <v>755.6</v>
      </c>
      <c r="G12" s="73">
        <f>ABS(SUMPRODUCT(dados_comercio!G:G,-(dados_comercio!$B:$B=$B12),-(dados_comercio!$C:$C&lt;=$C12)))</f>
        <v>637.5</v>
      </c>
      <c r="H12" s="73">
        <f>ABS(SUMPRODUCT(dados_comercio!H:H,-(dados_comercio!$B:$B=$B12),-(dados_comercio!$C:$C&lt;=$C12)))</f>
        <v>792</v>
      </c>
      <c r="I12" s="73">
        <f>ABS(SUMPRODUCT(dados_comercio!I:I,-(dados_comercio!$B:$B=$B12),-(dados_comercio!$C:$C&lt;=$C12)))</f>
        <v>794.3</v>
      </c>
      <c r="J12" s="73">
        <f>ABS(SUMPRODUCT(dados_comercio!J:J,-(dados_comercio!$B:$B=$B12),-(dados_comercio!$C:$C&lt;=$C12)))</f>
        <v>663.6</v>
      </c>
      <c r="K12" s="73">
        <f>ABS(SUMPRODUCT(dados_comercio!K:K,-(dados_comercio!$B:$B=$B12),-(dados_comercio!$C:$C&lt;=$C12)))</f>
        <v>604.49999999999989</v>
      </c>
      <c r="L12" s="73">
        <f>ABS(SUMPRODUCT(dados_comercio!L:L,-(dados_comercio!$B:$B=$B12),-(dados_comercio!$C:$C&lt;=$C12)))</f>
        <v>571.80000000000007</v>
      </c>
      <c r="M12" s="73">
        <f>ABS(SUMPRODUCT(dados_comercio!M:M,-(dados_comercio!$B:$B=$B12),-(dados_comercio!$C:$C&lt;=$C12)))</f>
        <v>601.4</v>
      </c>
      <c r="N12" s="73">
        <f>ABS(SUMPRODUCT(dados_comercio!N:N,-(dados_comercio!$B:$B=$B12),-(dados_comercio!$C:$C&lt;=$C12)))</f>
        <v>932.9</v>
      </c>
      <c r="O12" s="73">
        <f>ABS(SUMPRODUCT(dados_comercio!O:O,-(dados_comercio!$B:$B=$B12),-(dados_comercio!$C:$C&lt;=$C12)))</f>
        <v>625.99999999999989</v>
      </c>
      <c r="P12" s="73">
        <f>ABS(SUMPRODUCT(dados_comercio!P:P,-(dados_comercio!$B:$B=$B12),-(dados_comercio!$C:$C&lt;=$C12)))</f>
        <v>849.70000000000016</v>
      </c>
      <c r="Q12" s="73">
        <f>ABS(SUMPRODUCT(dados_comercio!Q:Q,-(dados_comercio!$B:$B=$B12),-(dados_comercio!$C:$C&lt;=$C12)))</f>
        <v>774.9</v>
      </c>
      <c r="R12" s="73">
        <f>ABS(SUMPRODUCT(dados_comercio!R:R,-(dados_comercio!$B:$B=$B12),-(dados_comercio!$C:$C&lt;=$C12)))</f>
        <v>626.20000000000005</v>
      </c>
      <c r="S12" s="73">
        <f>ABS(SUMPRODUCT(dados_comercio!S:S,-(dados_comercio!$B:$B=$B12),-(dados_comercio!$C:$C&lt;=$C12)))</f>
        <v>752.19999999999993</v>
      </c>
    </row>
    <row r="13" spans="1:19" x14ac:dyDescent="0.2">
      <c r="A13" s="6" t="str">
        <f>dados_comercio!A13</f>
        <v>201710</v>
      </c>
      <c r="B13" s="6">
        <f>dados_comercio!B13</f>
        <v>2017</v>
      </c>
      <c r="C13" s="6">
        <f>dados_comercio!C13</f>
        <v>10</v>
      </c>
      <c r="D13" s="27">
        <f>dados_comercio!D13</f>
        <v>43009</v>
      </c>
      <c r="E13" s="73">
        <f>ABS(SUMPRODUCT(dados_comercio!E:E,-(dados_comercio!$B:$B=$B13),-(dados_comercio!$C:$C&lt;=$C13)))</f>
        <v>877.6</v>
      </c>
      <c r="F13" s="73">
        <f>ABS(SUMPRODUCT(dados_comercio!F:F,-(dados_comercio!$B:$B=$B13),-(dados_comercio!$C:$C&lt;=$C13)))</f>
        <v>842.4</v>
      </c>
      <c r="G13" s="73">
        <f>ABS(SUMPRODUCT(dados_comercio!G:G,-(dados_comercio!$B:$B=$B13),-(dados_comercio!$C:$C&lt;=$C13)))</f>
        <v>704.5</v>
      </c>
      <c r="H13" s="73">
        <f>ABS(SUMPRODUCT(dados_comercio!H:H,-(dados_comercio!$B:$B=$B13),-(dados_comercio!$C:$C&lt;=$C13)))</f>
        <v>885.7</v>
      </c>
      <c r="I13" s="73">
        <f>ABS(SUMPRODUCT(dados_comercio!I:I,-(dados_comercio!$B:$B=$B13),-(dados_comercio!$C:$C&lt;=$C13)))</f>
        <v>889.69999999999993</v>
      </c>
      <c r="J13" s="73">
        <f>ABS(SUMPRODUCT(dados_comercio!J:J,-(dados_comercio!$B:$B=$B13),-(dados_comercio!$C:$C&lt;=$C13)))</f>
        <v>735.5</v>
      </c>
      <c r="K13" s="73">
        <f>ABS(SUMPRODUCT(dados_comercio!K:K,-(dados_comercio!$B:$B=$B13),-(dados_comercio!$C:$C&lt;=$C13)))</f>
        <v>671.59999999999991</v>
      </c>
      <c r="L13" s="73">
        <f>ABS(SUMPRODUCT(dados_comercio!L:L,-(dados_comercio!$B:$B=$B13),-(dados_comercio!$C:$C&lt;=$C13)))</f>
        <v>642.70000000000005</v>
      </c>
      <c r="M13" s="73">
        <f>ABS(SUMPRODUCT(dados_comercio!M:M,-(dados_comercio!$B:$B=$B13),-(dados_comercio!$C:$C&lt;=$C13)))</f>
        <v>666.1</v>
      </c>
      <c r="N13" s="73">
        <f>ABS(SUMPRODUCT(dados_comercio!N:N,-(dados_comercio!$B:$B=$B13),-(dados_comercio!$C:$C&lt;=$C13)))</f>
        <v>1038.9000000000001</v>
      </c>
      <c r="O13" s="73">
        <f>ABS(SUMPRODUCT(dados_comercio!O:O,-(dados_comercio!$B:$B=$B13),-(dados_comercio!$C:$C&lt;=$C13)))</f>
        <v>684.79999999999984</v>
      </c>
      <c r="P13" s="73">
        <f>ABS(SUMPRODUCT(dados_comercio!P:P,-(dados_comercio!$B:$B=$B13),-(dados_comercio!$C:$C&lt;=$C13)))</f>
        <v>920.00000000000011</v>
      </c>
      <c r="Q13" s="73">
        <f>ABS(SUMPRODUCT(dados_comercio!Q:Q,-(dados_comercio!$B:$B=$B13),-(dados_comercio!$C:$C&lt;=$C13)))</f>
        <v>867</v>
      </c>
      <c r="R13" s="73">
        <f>ABS(SUMPRODUCT(dados_comercio!R:R,-(dados_comercio!$B:$B=$B13),-(dados_comercio!$C:$C&lt;=$C13)))</f>
        <v>694.90000000000009</v>
      </c>
      <c r="S13" s="73">
        <f>ABS(SUMPRODUCT(dados_comercio!S:S,-(dados_comercio!$B:$B=$B13),-(dados_comercio!$C:$C&lt;=$C13)))</f>
        <v>835.09999999999991</v>
      </c>
    </row>
    <row r="14" spans="1:19" x14ac:dyDescent="0.2">
      <c r="A14" s="6" t="str">
        <f>dados_comercio!A14</f>
        <v>201711</v>
      </c>
      <c r="B14" s="6">
        <f>dados_comercio!B14</f>
        <v>2017</v>
      </c>
      <c r="C14" s="6">
        <f>dados_comercio!C14</f>
        <v>11</v>
      </c>
      <c r="D14" s="27">
        <f>dados_comercio!D14</f>
        <v>43040</v>
      </c>
      <c r="E14" s="73">
        <f>ABS(SUMPRODUCT(dados_comercio!E:E,-(dados_comercio!$B:$B=$B14),-(dados_comercio!$C:$C&lt;=$C14)))</f>
        <v>964.5</v>
      </c>
      <c r="F14" s="73">
        <f>ABS(SUMPRODUCT(dados_comercio!F:F,-(dados_comercio!$B:$B=$B14),-(dados_comercio!$C:$C&lt;=$C14)))</f>
        <v>933.3</v>
      </c>
      <c r="G14" s="73">
        <f>ABS(SUMPRODUCT(dados_comercio!G:G,-(dados_comercio!$B:$B=$B14),-(dados_comercio!$C:$C&lt;=$C14)))</f>
        <v>764.5</v>
      </c>
      <c r="H14" s="73">
        <f>ABS(SUMPRODUCT(dados_comercio!H:H,-(dados_comercio!$B:$B=$B14),-(dados_comercio!$C:$C&lt;=$C14)))</f>
        <v>973.30000000000007</v>
      </c>
      <c r="I14" s="73">
        <f>ABS(SUMPRODUCT(dados_comercio!I:I,-(dados_comercio!$B:$B=$B14),-(dados_comercio!$C:$C&lt;=$C14)))</f>
        <v>977.59999999999991</v>
      </c>
      <c r="J14" s="73">
        <f>ABS(SUMPRODUCT(dados_comercio!J:J,-(dados_comercio!$B:$B=$B14),-(dados_comercio!$C:$C&lt;=$C14)))</f>
        <v>818.8</v>
      </c>
      <c r="K14" s="73">
        <f>ABS(SUMPRODUCT(dados_comercio!K:K,-(dados_comercio!$B:$B=$B14),-(dados_comercio!$C:$C&lt;=$C14)))</f>
        <v>763.09999999999991</v>
      </c>
      <c r="L14" s="73">
        <f>ABS(SUMPRODUCT(dados_comercio!L:L,-(dados_comercio!$B:$B=$B14),-(dados_comercio!$C:$C&lt;=$C14)))</f>
        <v>738.2</v>
      </c>
      <c r="M14" s="73">
        <f>ABS(SUMPRODUCT(dados_comercio!M:M,-(dados_comercio!$B:$B=$B14),-(dados_comercio!$C:$C&lt;=$C14)))</f>
        <v>754.5</v>
      </c>
      <c r="N14" s="73">
        <f>ABS(SUMPRODUCT(dados_comercio!N:N,-(dados_comercio!$B:$B=$B14),-(dados_comercio!$C:$C&lt;=$C14)))</f>
        <v>1140.4000000000001</v>
      </c>
      <c r="O14" s="73">
        <f>ABS(SUMPRODUCT(dados_comercio!O:O,-(dados_comercio!$B:$B=$B14),-(dados_comercio!$C:$C&lt;=$C14)))</f>
        <v>750.29999999999984</v>
      </c>
      <c r="P14" s="73">
        <f>ABS(SUMPRODUCT(dados_comercio!P:P,-(dados_comercio!$B:$B=$B14),-(dados_comercio!$C:$C&lt;=$C14)))</f>
        <v>1011.3000000000001</v>
      </c>
      <c r="Q14" s="73">
        <f>ABS(SUMPRODUCT(dados_comercio!Q:Q,-(dados_comercio!$B:$B=$B14),-(dados_comercio!$C:$C&lt;=$C14)))</f>
        <v>988.6</v>
      </c>
      <c r="R14" s="73">
        <f>ABS(SUMPRODUCT(dados_comercio!R:R,-(dados_comercio!$B:$B=$B14),-(dados_comercio!$C:$C&lt;=$C14)))</f>
        <v>773.7</v>
      </c>
      <c r="S14" s="73">
        <f>ABS(SUMPRODUCT(dados_comercio!S:S,-(dados_comercio!$B:$B=$B14),-(dados_comercio!$C:$C&lt;=$C14)))</f>
        <v>919.3</v>
      </c>
    </row>
    <row r="15" spans="1:19" x14ac:dyDescent="0.2">
      <c r="A15" s="6" t="str">
        <f>dados_comercio!A15</f>
        <v>201712</v>
      </c>
      <c r="B15" s="6">
        <f>dados_comercio!B15</f>
        <v>2017</v>
      </c>
      <c r="C15" s="6">
        <f>dados_comercio!C15</f>
        <v>12</v>
      </c>
      <c r="D15" s="27">
        <f>dados_comercio!D15</f>
        <v>43070</v>
      </c>
      <c r="E15" s="73">
        <f>ABS(SUMPRODUCT(dados_comercio!E:E,-(dados_comercio!$B:$B=$B15),-(dados_comercio!$C:$C&lt;=$C15)))</f>
        <v>1050.7</v>
      </c>
      <c r="F15" s="73">
        <f>ABS(SUMPRODUCT(dados_comercio!F:F,-(dados_comercio!$B:$B=$B15),-(dados_comercio!$C:$C&lt;=$C15)))</f>
        <v>1048.3999999999999</v>
      </c>
      <c r="G15" s="73">
        <f>ABS(SUMPRODUCT(dados_comercio!G:G,-(dados_comercio!$B:$B=$B15),-(dados_comercio!$C:$C&lt;=$C15)))</f>
        <v>830.4</v>
      </c>
      <c r="H15" s="73">
        <f>ABS(SUMPRODUCT(dados_comercio!H:H,-(dados_comercio!$B:$B=$B15),-(dados_comercio!$C:$C&lt;=$C15)))</f>
        <v>1083.6000000000001</v>
      </c>
      <c r="I15" s="73">
        <f>ABS(SUMPRODUCT(dados_comercio!I:I,-(dados_comercio!$B:$B=$B15),-(dados_comercio!$C:$C&lt;=$C15)))</f>
        <v>1088.6999999999998</v>
      </c>
      <c r="J15" s="73">
        <f>ABS(SUMPRODUCT(dados_comercio!J:J,-(dados_comercio!$B:$B=$B15),-(dados_comercio!$C:$C&lt;=$C15)))</f>
        <v>960.4</v>
      </c>
      <c r="K15" s="73">
        <f>ABS(SUMPRODUCT(dados_comercio!K:K,-(dados_comercio!$B:$B=$B15),-(dados_comercio!$C:$C&lt;=$C15)))</f>
        <v>865.8</v>
      </c>
      <c r="L15" s="73">
        <f>ABS(SUMPRODUCT(dados_comercio!L:L,-(dados_comercio!$B:$B=$B15),-(dados_comercio!$C:$C&lt;=$C15)))</f>
        <v>843.80000000000007</v>
      </c>
      <c r="M15" s="73">
        <f>ABS(SUMPRODUCT(dados_comercio!M:M,-(dados_comercio!$B:$B=$B15),-(dados_comercio!$C:$C&lt;=$C15)))</f>
        <v>854.4</v>
      </c>
      <c r="N15" s="73">
        <f>ABS(SUMPRODUCT(dados_comercio!N:N,-(dados_comercio!$B:$B=$B15),-(dados_comercio!$C:$C&lt;=$C15)))</f>
        <v>1251.6000000000001</v>
      </c>
      <c r="O15" s="73">
        <f>ABS(SUMPRODUCT(dados_comercio!O:O,-(dados_comercio!$B:$B=$B15),-(dados_comercio!$C:$C&lt;=$C15)))</f>
        <v>856.79999999999984</v>
      </c>
      <c r="P15" s="73">
        <f>ABS(SUMPRODUCT(dados_comercio!P:P,-(dados_comercio!$B:$B=$B15),-(dados_comercio!$C:$C&lt;=$C15)))</f>
        <v>1132.3000000000002</v>
      </c>
      <c r="Q15" s="73">
        <f>ABS(SUMPRODUCT(dados_comercio!Q:Q,-(dados_comercio!$B:$B=$B15),-(dados_comercio!$C:$C&lt;=$C15)))</f>
        <v>1142.5</v>
      </c>
      <c r="R15" s="73">
        <f>ABS(SUMPRODUCT(dados_comercio!R:R,-(dados_comercio!$B:$B=$B15),-(dados_comercio!$C:$C&lt;=$C15)))</f>
        <v>846.80000000000007</v>
      </c>
      <c r="S15" s="73">
        <f>ABS(SUMPRODUCT(dados_comercio!S:S,-(dados_comercio!$B:$B=$B15),-(dados_comercio!$C:$C&lt;=$C15)))</f>
        <v>1001.6999999999999</v>
      </c>
    </row>
    <row r="16" spans="1:19" x14ac:dyDescent="0.2">
      <c r="A16" s="6" t="str">
        <f>dados_comercio!A16</f>
        <v>20181</v>
      </c>
      <c r="B16" s="6">
        <f>dados_comercio!B16</f>
        <v>2018</v>
      </c>
      <c r="C16" s="6">
        <f>dados_comercio!C16</f>
        <v>1</v>
      </c>
      <c r="D16" s="27">
        <f>dados_comercio!D16</f>
        <v>43101</v>
      </c>
      <c r="E16" s="73">
        <f>ABS(SUMPRODUCT(dados_comercio!E:E,-(dados_comercio!$B:$B=$B16),-(dados_comercio!$C:$C&lt;=$C16)))</f>
        <v>87.4</v>
      </c>
      <c r="F16" s="73">
        <f>ABS(SUMPRODUCT(dados_comercio!F:F,-(dados_comercio!$B:$B=$B16),-(dados_comercio!$C:$C&lt;=$C16)))</f>
        <v>84.3</v>
      </c>
      <c r="G16" s="73">
        <f>ABS(SUMPRODUCT(dados_comercio!G:G,-(dados_comercio!$B:$B=$B16),-(dados_comercio!$C:$C&lt;=$C16)))</f>
        <v>59.1</v>
      </c>
      <c r="H16" s="73">
        <f>ABS(SUMPRODUCT(dados_comercio!H:H,-(dados_comercio!$B:$B=$B16),-(dados_comercio!$C:$C&lt;=$C16)))</f>
        <v>86</v>
      </c>
      <c r="I16" s="73">
        <f>ABS(SUMPRODUCT(dados_comercio!I:I,-(dados_comercio!$B:$B=$B16),-(dados_comercio!$C:$C&lt;=$C16)))</f>
        <v>84.8</v>
      </c>
      <c r="J16" s="73">
        <f>ABS(SUMPRODUCT(dados_comercio!J:J,-(dados_comercio!$B:$B=$B16),-(dados_comercio!$C:$C&lt;=$C16)))</f>
        <v>69.5</v>
      </c>
      <c r="K16" s="73">
        <f>ABS(SUMPRODUCT(dados_comercio!K:K,-(dados_comercio!$B:$B=$B16),-(dados_comercio!$C:$C&lt;=$C16)))</f>
        <v>79.5</v>
      </c>
      <c r="L16" s="73">
        <f>ABS(SUMPRODUCT(dados_comercio!L:L,-(dados_comercio!$B:$B=$B16),-(dados_comercio!$C:$C&lt;=$C16)))</f>
        <v>69.099999999999994</v>
      </c>
      <c r="M16" s="73">
        <f>ABS(SUMPRODUCT(dados_comercio!M:M,-(dados_comercio!$B:$B=$B16),-(dados_comercio!$C:$C&lt;=$C16)))</f>
        <v>80.900000000000006</v>
      </c>
      <c r="N16" s="73">
        <f>ABS(SUMPRODUCT(dados_comercio!N:N,-(dados_comercio!$B:$B=$B16),-(dados_comercio!$C:$C&lt;=$C16)))</f>
        <v>104.6</v>
      </c>
      <c r="O16" s="73">
        <f>ABS(SUMPRODUCT(dados_comercio!O:O,-(dados_comercio!$B:$B=$B16),-(dados_comercio!$C:$C&lt;=$C16)))</f>
        <v>126.4</v>
      </c>
      <c r="P16" s="73">
        <f>ABS(SUMPRODUCT(dados_comercio!P:P,-(dados_comercio!$B:$B=$B16),-(dados_comercio!$C:$C&lt;=$C16)))</f>
        <v>77.5</v>
      </c>
      <c r="Q16" s="73">
        <f>ABS(SUMPRODUCT(dados_comercio!Q:Q,-(dados_comercio!$B:$B=$B16),-(dados_comercio!$C:$C&lt;=$C16)))</f>
        <v>93.7</v>
      </c>
      <c r="R16" s="73">
        <f>ABS(SUMPRODUCT(dados_comercio!R:R,-(dados_comercio!$B:$B=$B16),-(dados_comercio!$C:$C&lt;=$C16)))</f>
        <v>77.3</v>
      </c>
      <c r="S16" s="73">
        <f>ABS(SUMPRODUCT(dados_comercio!S:S,-(dados_comercio!$B:$B=$B16),-(dados_comercio!$C:$C&lt;=$C16)))</f>
        <v>87.2</v>
      </c>
    </row>
    <row r="17" spans="1:19" x14ac:dyDescent="0.2">
      <c r="A17" s="6" t="str">
        <f>dados_comercio!A17</f>
        <v>20182</v>
      </c>
      <c r="B17" s="6">
        <f>dados_comercio!B17</f>
        <v>2018</v>
      </c>
      <c r="C17" s="6">
        <f>dados_comercio!C17</f>
        <v>2</v>
      </c>
      <c r="D17" s="27">
        <f>dados_comercio!D17</f>
        <v>43132</v>
      </c>
      <c r="E17" s="73">
        <f>ABS(SUMPRODUCT(dados_comercio!E:E,-(dados_comercio!$B:$B=$B17),-(dados_comercio!$C:$C&lt;=$C17)))</f>
        <v>174.4</v>
      </c>
      <c r="F17" s="73">
        <f>ABS(SUMPRODUCT(dados_comercio!F:F,-(dados_comercio!$B:$B=$B17),-(dados_comercio!$C:$C&lt;=$C17)))</f>
        <v>161.80000000000001</v>
      </c>
      <c r="G17" s="73">
        <f>ABS(SUMPRODUCT(dados_comercio!G:G,-(dados_comercio!$B:$B=$B17),-(dados_comercio!$C:$C&lt;=$C17)))</f>
        <v>115.30000000000001</v>
      </c>
      <c r="H17" s="73">
        <f>ABS(SUMPRODUCT(dados_comercio!H:H,-(dados_comercio!$B:$B=$B17),-(dados_comercio!$C:$C&lt;=$C17)))</f>
        <v>170.3</v>
      </c>
      <c r="I17" s="73">
        <f>ABS(SUMPRODUCT(dados_comercio!I:I,-(dados_comercio!$B:$B=$B17),-(dados_comercio!$C:$C&lt;=$C17)))</f>
        <v>168.3</v>
      </c>
      <c r="J17" s="73">
        <f>ABS(SUMPRODUCT(dados_comercio!J:J,-(dados_comercio!$B:$B=$B17),-(dados_comercio!$C:$C&lt;=$C17)))</f>
        <v>127</v>
      </c>
      <c r="K17" s="73">
        <f>ABS(SUMPRODUCT(dados_comercio!K:K,-(dados_comercio!$B:$B=$B17),-(dados_comercio!$C:$C&lt;=$C17)))</f>
        <v>142.9</v>
      </c>
      <c r="L17" s="73">
        <f>ABS(SUMPRODUCT(dados_comercio!L:L,-(dados_comercio!$B:$B=$B17),-(dados_comercio!$C:$C&lt;=$C17)))</f>
        <v>126.89999999999999</v>
      </c>
      <c r="M17" s="73">
        <f>ABS(SUMPRODUCT(dados_comercio!M:M,-(dados_comercio!$B:$B=$B17),-(dados_comercio!$C:$C&lt;=$C17)))</f>
        <v>144.80000000000001</v>
      </c>
      <c r="N17" s="73">
        <f>ABS(SUMPRODUCT(dados_comercio!N:N,-(dados_comercio!$B:$B=$B17),-(dados_comercio!$C:$C&lt;=$C17)))</f>
        <v>201.8</v>
      </c>
      <c r="O17" s="73">
        <f>ABS(SUMPRODUCT(dados_comercio!O:O,-(dados_comercio!$B:$B=$B17),-(dados_comercio!$C:$C&lt;=$C17)))</f>
        <v>241.7</v>
      </c>
      <c r="P17" s="73">
        <f>ABS(SUMPRODUCT(dados_comercio!P:P,-(dados_comercio!$B:$B=$B17),-(dados_comercio!$C:$C&lt;=$C17)))</f>
        <v>157.5</v>
      </c>
      <c r="Q17" s="73">
        <f>ABS(SUMPRODUCT(dados_comercio!Q:Q,-(dados_comercio!$B:$B=$B17),-(dados_comercio!$C:$C&lt;=$C17)))</f>
        <v>171.10000000000002</v>
      </c>
      <c r="R17" s="73">
        <f>ABS(SUMPRODUCT(dados_comercio!R:R,-(dados_comercio!$B:$B=$B17),-(dados_comercio!$C:$C&lt;=$C17)))</f>
        <v>140.9</v>
      </c>
      <c r="S17" s="73">
        <f>ABS(SUMPRODUCT(dados_comercio!S:S,-(dados_comercio!$B:$B=$B17),-(dados_comercio!$C:$C&lt;=$C17)))</f>
        <v>159.10000000000002</v>
      </c>
    </row>
    <row r="18" spans="1:19" x14ac:dyDescent="0.2">
      <c r="A18" s="6" t="str">
        <f>dados_comercio!A18</f>
        <v>20183</v>
      </c>
      <c r="B18" s="6">
        <f>dados_comercio!B18</f>
        <v>2018</v>
      </c>
      <c r="C18" s="6">
        <f>dados_comercio!C18</f>
        <v>3</v>
      </c>
      <c r="D18" s="27">
        <f>dados_comercio!D18</f>
        <v>43160</v>
      </c>
      <c r="E18" s="73">
        <f>ABS(SUMPRODUCT(dados_comercio!E:E,-(dados_comercio!$B:$B=$B18),-(dados_comercio!$C:$C&lt;=$C18)))</f>
        <v>263.7</v>
      </c>
      <c r="F18" s="73">
        <f>ABS(SUMPRODUCT(dados_comercio!F:F,-(dados_comercio!$B:$B=$B18),-(dados_comercio!$C:$C&lt;=$C18)))</f>
        <v>252.8</v>
      </c>
      <c r="G18" s="73">
        <f>ABS(SUMPRODUCT(dados_comercio!G:G,-(dados_comercio!$B:$B=$B18),-(dados_comercio!$C:$C&lt;=$C18)))</f>
        <v>178.4</v>
      </c>
      <c r="H18" s="73">
        <f>ABS(SUMPRODUCT(dados_comercio!H:H,-(dados_comercio!$B:$B=$B18),-(dados_comercio!$C:$C&lt;=$C18)))</f>
        <v>265.89999999999998</v>
      </c>
      <c r="I18" s="73">
        <f>ABS(SUMPRODUCT(dados_comercio!I:I,-(dados_comercio!$B:$B=$B18),-(dados_comercio!$C:$C&lt;=$C18)))</f>
        <v>262.70000000000005</v>
      </c>
      <c r="J18" s="73">
        <f>ABS(SUMPRODUCT(dados_comercio!J:J,-(dados_comercio!$B:$B=$B18),-(dados_comercio!$C:$C&lt;=$C18)))</f>
        <v>197.5</v>
      </c>
      <c r="K18" s="73">
        <f>ABS(SUMPRODUCT(dados_comercio!K:K,-(dados_comercio!$B:$B=$B18),-(dados_comercio!$C:$C&lt;=$C18)))</f>
        <v>220.9</v>
      </c>
      <c r="L18" s="73">
        <f>ABS(SUMPRODUCT(dados_comercio!L:L,-(dados_comercio!$B:$B=$B18),-(dados_comercio!$C:$C&lt;=$C18)))</f>
        <v>193.6</v>
      </c>
      <c r="M18" s="73">
        <f>ABS(SUMPRODUCT(dados_comercio!M:M,-(dados_comercio!$B:$B=$B18),-(dados_comercio!$C:$C&lt;=$C18)))</f>
        <v>224.70000000000002</v>
      </c>
      <c r="N18" s="73">
        <f>ABS(SUMPRODUCT(dados_comercio!N:N,-(dados_comercio!$B:$B=$B18),-(dados_comercio!$C:$C&lt;=$C18)))</f>
        <v>318</v>
      </c>
      <c r="O18" s="73">
        <f>ABS(SUMPRODUCT(dados_comercio!O:O,-(dados_comercio!$B:$B=$B18),-(dados_comercio!$C:$C&lt;=$C18)))</f>
        <v>308.5</v>
      </c>
      <c r="P18" s="73">
        <f>ABS(SUMPRODUCT(dados_comercio!P:P,-(dados_comercio!$B:$B=$B18),-(dados_comercio!$C:$C&lt;=$C18)))</f>
        <v>247.8</v>
      </c>
      <c r="Q18" s="73">
        <f>ABS(SUMPRODUCT(dados_comercio!Q:Q,-(dados_comercio!$B:$B=$B18),-(dados_comercio!$C:$C&lt;=$C18)))</f>
        <v>274.40000000000003</v>
      </c>
      <c r="R18" s="73">
        <f>ABS(SUMPRODUCT(dados_comercio!R:R,-(dados_comercio!$B:$B=$B18),-(dados_comercio!$C:$C&lt;=$C18)))</f>
        <v>219.10000000000002</v>
      </c>
      <c r="S18" s="73">
        <f>ABS(SUMPRODUCT(dados_comercio!S:S,-(dados_comercio!$B:$B=$B18),-(dados_comercio!$C:$C&lt;=$C18)))</f>
        <v>246.40000000000003</v>
      </c>
    </row>
    <row r="19" spans="1:19" x14ac:dyDescent="0.2">
      <c r="A19" s="6" t="str">
        <f>dados_comercio!A19</f>
        <v>20184</v>
      </c>
      <c r="B19" s="6">
        <f>dados_comercio!B19</f>
        <v>2018</v>
      </c>
      <c r="C19" s="6">
        <f>dados_comercio!C19</f>
        <v>4</v>
      </c>
      <c r="D19" s="27">
        <f>dados_comercio!D19</f>
        <v>43191</v>
      </c>
      <c r="E19" s="73">
        <f>ABS(SUMPRODUCT(dados_comercio!E:E,-(dados_comercio!$B:$B=$B19),-(dados_comercio!$C:$C&lt;=$C19)))</f>
        <v>354.5</v>
      </c>
      <c r="F19" s="73">
        <f>ABS(SUMPRODUCT(dados_comercio!F:F,-(dados_comercio!$B:$B=$B19),-(dados_comercio!$C:$C&lt;=$C19)))</f>
        <v>334.6</v>
      </c>
      <c r="G19" s="73">
        <f>ABS(SUMPRODUCT(dados_comercio!G:G,-(dados_comercio!$B:$B=$B19),-(dados_comercio!$C:$C&lt;=$C19)))</f>
        <v>237</v>
      </c>
      <c r="H19" s="73">
        <f>ABS(SUMPRODUCT(dados_comercio!H:H,-(dados_comercio!$B:$B=$B19),-(dados_comercio!$C:$C&lt;=$C19)))</f>
        <v>352.4</v>
      </c>
      <c r="I19" s="73">
        <f>ABS(SUMPRODUCT(dados_comercio!I:I,-(dados_comercio!$B:$B=$B19),-(dados_comercio!$C:$C&lt;=$C19)))</f>
        <v>347.80000000000007</v>
      </c>
      <c r="J19" s="73">
        <f>ABS(SUMPRODUCT(dados_comercio!J:J,-(dados_comercio!$B:$B=$B19),-(dados_comercio!$C:$C&lt;=$C19)))</f>
        <v>266.10000000000002</v>
      </c>
      <c r="K19" s="73">
        <f>ABS(SUMPRODUCT(dados_comercio!K:K,-(dados_comercio!$B:$B=$B19),-(dados_comercio!$C:$C&lt;=$C19)))</f>
        <v>291.39999999999998</v>
      </c>
      <c r="L19" s="73">
        <f>ABS(SUMPRODUCT(dados_comercio!L:L,-(dados_comercio!$B:$B=$B19),-(dados_comercio!$C:$C&lt;=$C19)))</f>
        <v>261.89999999999998</v>
      </c>
      <c r="M19" s="73">
        <f>ABS(SUMPRODUCT(dados_comercio!M:M,-(dados_comercio!$B:$B=$B19),-(dados_comercio!$C:$C&lt;=$C19)))</f>
        <v>294.40000000000003</v>
      </c>
      <c r="N19" s="73">
        <f>ABS(SUMPRODUCT(dados_comercio!N:N,-(dados_comercio!$B:$B=$B19),-(dados_comercio!$C:$C&lt;=$C19)))</f>
        <v>426.6</v>
      </c>
      <c r="O19" s="73">
        <f>ABS(SUMPRODUCT(dados_comercio!O:O,-(dados_comercio!$B:$B=$B19),-(dados_comercio!$C:$C&lt;=$C19)))</f>
        <v>358.5</v>
      </c>
      <c r="P19" s="73">
        <f>ABS(SUMPRODUCT(dados_comercio!P:P,-(dados_comercio!$B:$B=$B19),-(dados_comercio!$C:$C&lt;=$C19)))</f>
        <v>326.89999999999998</v>
      </c>
      <c r="Q19" s="73">
        <f>ABS(SUMPRODUCT(dados_comercio!Q:Q,-(dados_comercio!$B:$B=$B19),-(dados_comercio!$C:$C&lt;=$C19)))</f>
        <v>358.6</v>
      </c>
      <c r="R19" s="73">
        <f>ABS(SUMPRODUCT(dados_comercio!R:R,-(dados_comercio!$B:$B=$B19),-(dados_comercio!$C:$C&lt;=$C19)))</f>
        <v>291</v>
      </c>
      <c r="S19" s="73">
        <f>ABS(SUMPRODUCT(dados_comercio!S:S,-(dados_comercio!$B:$B=$B19),-(dados_comercio!$C:$C&lt;=$C19)))</f>
        <v>325.70000000000005</v>
      </c>
    </row>
    <row r="20" spans="1:19" x14ac:dyDescent="0.2">
      <c r="A20" s="6" t="str">
        <f>dados_comercio!A20</f>
        <v>20185</v>
      </c>
      <c r="B20" s="6">
        <f>dados_comercio!B20</f>
        <v>2018</v>
      </c>
      <c r="C20" s="6">
        <f>dados_comercio!C20</f>
        <v>5</v>
      </c>
      <c r="D20" s="27">
        <f>dados_comercio!D20</f>
        <v>43221</v>
      </c>
      <c r="E20" s="73">
        <f>ABS(SUMPRODUCT(dados_comercio!E:E,-(dados_comercio!$B:$B=$B20),-(dados_comercio!$C:$C&lt;=$C20)))</f>
        <v>442.9</v>
      </c>
      <c r="F20" s="73">
        <f>ABS(SUMPRODUCT(dados_comercio!F:F,-(dados_comercio!$B:$B=$B20),-(dados_comercio!$C:$C&lt;=$C20)))</f>
        <v>421.70000000000005</v>
      </c>
      <c r="G20" s="73">
        <f>ABS(SUMPRODUCT(dados_comercio!G:G,-(dados_comercio!$B:$B=$B20),-(dados_comercio!$C:$C&lt;=$C20)))</f>
        <v>299.60000000000002</v>
      </c>
      <c r="H20" s="73">
        <f>ABS(SUMPRODUCT(dados_comercio!H:H,-(dados_comercio!$B:$B=$B20),-(dados_comercio!$C:$C&lt;=$C20)))</f>
        <v>442.29999999999995</v>
      </c>
      <c r="I20" s="73">
        <f>ABS(SUMPRODUCT(dados_comercio!I:I,-(dados_comercio!$B:$B=$B20),-(dados_comercio!$C:$C&lt;=$C20)))</f>
        <v>437.80000000000007</v>
      </c>
      <c r="J20" s="73">
        <f>ABS(SUMPRODUCT(dados_comercio!J:J,-(dados_comercio!$B:$B=$B20),-(dados_comercio!$C:$C&lt;=$C20)))</f>
        <v>343.6</v>
      </c>
      <c r="K20" s="73">
        <f>ABS(SUMPRODUCT(dados_comercio!K:K,-(dados_comercio!$B:$B=$B20),-(dados_comercio!$C:$C&lt;=$C20)))</f>
        <v>365.2</v>
      </c>
      <c r="L20" s="73">
        <f>ABS(SUMPRODUCT(dados_comercio!L:L,-(dados_comercio!$B:$B=$B20),-(dados_comercio!$C:$C&lt;=$C20)))</f>
        <v>323.29999999999995</v>
      </c>
      <c r="M20" s="73">
        <f>ABS(SUMPRODUCT(dados_comercio!M:M,-(dados_comercio!$B:$B=$B20),-(dados_comercio!$C:$C&lt;=$C20)))</f>
        <v>370.6</v>
      </c>
      <c r="N20" s="73">
        <f>ABS(SUMPRODUCT(dados_comercio!N:N,-(dados_comercio!$B:$B=$B20),-(dados_comercio!$C:$C&lt;=$C20)))</f>
        <v>538.70000000000005</v>
      </c>
      <c r="O20" s="73">
        <f>ABS(SUMPRODUCT(dados_comercio!O:O,-(dados_comercio!$B:$B=$B20),-(dados_comercio!$C:$C&lt;=$C20)))</f>
        <v>407.8</v>
      </c>
      <c r="P20" s="73">
        <f>ABS(SUMPRODUCT(dados_comercio!P:P,-(dados_comercio!$B:$B=$B20),-(dados_comercio!$C:$C&lt;=$C20)))</f>
        <v>440</v>
      </c>
      <c r="Q20" s="73">
        <f>ABS(SUMPRODUCT(dados_comercio!Q:Q,-(dados_comercio!$B:$B=$B20),-(dados_comercio!$C:$C&lt;=$C20)))</f>
        <v>454</v>
      </c>
      <c r="R20" s="73">
        <f>ABS(SUMPRODUCT(dados_comercio!R:R,-(dados_comercio!$B:$B=$B20),-(dados_comercio!$C:$C&lt;=$C20)))</f>
        <v>367</v>
      </c>
      <c r="S20" s="73">
        <f>ABS(SUMPRODUCT(dados_comercio!S:S,-(dados_comercio!$B:$B=$B20),-(dados_comercio!$C:$C&lt;=$C20)))</f>
        <v>401.30000000000007</v>
      </c>
    </row>
    <row r="21" spans="1:19" x14ac:dyDescent="0.2">
      <c r="A21" s="6" t="str">
        <f>dados_comercio!A21</f>
        <v>20186</v>
      </c>
      <c r="B21" s="6">
        <f>dados_comercio!B21</f>
        <v>2018</v>
      </c>
      <c r="C21" s="6">
        <f>dados_comercio!C21</f>
        <v>6</v>
      </c>
      <c r="D21" s="27">
        <f>dados_comercio!D21</f>
        <v>43252</v>
      </c>
      <c r="E21" s="73">
        <f>ABS(SUMPRODUCT(dados_comercio!E:E,-(dados_comercio!$B:$B=$B21),-(dados_comercio!$C:$C&lt;=$C21)))</f>
        <v>530.5</v>
      </c>
      <c r="F21" s="73">
        <f>ABS(SUMPRODUCT(dados_comercio!F:F,-(dados_comercio!$B:$B=$B21),-(dados_comercio!$C:$C&lt;=$C21)))</f>
        <v>504.70000000000005</v>
      </c>
      <c r="G21" s="73">
        <f>ABS(SUMPRODUCT(dados_comercio!G:G,-(dados_comercio!$B:$B=$B21),-(dados_comercio!$C:$C&lt;=$C21)))</f>
        <v>351.5</v>
      </c>
      <c r="H21" s="73">
        <f>ABS(SUMPRODUCT(dados_comercio!H:H,-(dados_comercio!$B:$B=$B21),-(dados_comercio!$C:$C&lt;=$C21)))</f>
        <v>527.5</v>
      </c>
      <c r="I21" s="73">
        <f>ABS(SUMPRODUCT(dados_comercio!I:I,-(dados_comercio!$B:$B=$B21),-(dados_comercio!$C:$C&lt;=$C21)))</f>
        <v>521.6</v>
      </c>
      <c r="J21" s="73">
        <f>ABS(SUMPRODUCT(dados_comercio!J:J,-(dados_comercio!$B:$B=$B21),-(dados_comercio!$C:$C&lt;=$C21)))</f>
        <v>421.5</v>
      </c>
      <c r="K21" s="73">
        <f>ABS(SUMPRODUCT(dados_comercio!K:K,-(dados_comercio!$B:$B=$B21),-(dados_comercio!$C:$C&lt;=$C21)))</f>
        <v>435.4</v>
      </c>
      <c r="L21" s="73">
        <f>ABS(SUMPRODUCT(dados_comercio!L:L,-(dados_comercio!$B:$B=$B21),-(dados_comercio!$C:$C&lt;=$C21)))</f>
        <v>383.59999999999997</v>
      </c>
      <c r="M21" s="73">
        <f>ABS(SUMPRODUCT(dados_comercio!M:M,-(dados_comercio!$B:$B=$B21),-(dados_comercio!$C:$C&lt;=$C21)))</f>
        <v>442.5</v>
      </c>
      <c r="N21" s="73">
        <f>ABS(SUMPRODUCT(dados_comercio!N:N,-(dados_comercio!$B:$B=$B21),-(dados_comercio!$C:$C&lt;=$C21)))</f>
        <v>643.5</v>
      </c>
      <c r="O21" s="73">
        <f>ABS(SUMPRODUCT(dados_comercio!O:O,-(dados_comercio!$B:$B=$B21),-(dados_comercio!$C:$C&lt;=$C21)))</f>
        <v>456.5</v>
      </c>
      <c r="P21" s="73">
        <f>ABS(SUMPRODUCT(dados_comercio!P:P,-(dados_comercio!$B:$B=$B21),-(dados_comercio!$C:$C&lt;=$C21)))</f>
        <v>524</v>
      </c>
      <c r="Q21" s="73">
        <f>ABS(SUMPRODUCT(dados_comercio!Q:Q,-(dados_comercio!$B:$B=$B21),-(dados_comercio!$C:$C&lt;=$C21)))</f>
        <v>550.79999999999995</v>
      </c>
      <c r="R21" s="73">
        <f>ABS(SUMPRODUCT(dados_comercio!R:R,-(dados_comercio!$B:$B=$B21),-(dados_comercio!$C:$C&lt;=$C21)))</f>
        <v>438.4</v>
      </c>
      <c r="S21" s="73">
        <f>ABS(SUMPRODUCT(dados_comercio!S:S,-(dados_comercio!$B:$B=$B21),-(dados_comercio!$C:$C&lt;=$C21)))</f>
        <v>477.20000000000005</v>
      </c>
    </row>
    <row r="22" spans="1:19" x14ac:dyDescent="0.2">
      <c r="A22" s="6" t="str">
        <f>dados_comercio!A22</f>
        <v>20187</v>
      </c>
      <c r="B22" s="6">
        <f>dados_comercio!B22</f>
        <v>2018</v>
      </c>
      <c r="C22" s="6">
        <f>dados_comercio!C22</f>
        <v>7</v>
      </c>
      <c r="D22" s="27">
        <f>dados_comercio!D22</f>
        <v>43282</v>
      </c>
      <c r="E22" s="73">
        <f>ABS(SUMPRODUCT(dados_comercio!E:E,-(dados_comercio!$B:$B=$B22),-(dados_comercio!$C:$C&lt;=$C22)))</f>
        <v>617.70000000000005</v>
      </c>
      <c r="F22" s="73">
        <f>ABS(SUMPRODUCT(dados_comercio!F:F,-(dados_comercio!$B:$B=$B22),-(dados_comercio!$C:$C&lt;=$C22)))</f>
        <v>587.40000000000009</v>
      </c>
      <c r="G22" s="73">
        <f>ABS(SUMPRODUCT(dados_comercio!G:G,-(dados_comercio!$B:$B=$B22),-(dados_comercio!$C:$C&lt;=$C22)))</f>
        <v>406.7</v>
      </c>
      <c r="H22" s="73">
        <f>ABS(SUMPRODUCT(dados_comercio!H:H,-(dados_comercio!$B:$B=$B22),-(dados_comercio!$C:$C&lt;=$C22)))</f>
        <v>616.70000000000005</v>
      </c>
      <c r="I22" s="73">
        <f>ABS(SUMPRODUCT(dados_comercio!I:I,-(dados_comercio!$B:$B=$B22),-(dados_comercio!$C:$C&lt;=$C22)))</f>
        <v>608.30000000000007</v>
      </c>
      <c r="J22" s="73">
        <f>ABS(SUMPRODUCT(dados_comercio!J:J,-(dados_comercio!$B:$B=$B22),-(dados_comercio!$C:$C&lt;=$C22)))</f>
        <v>497.4</v>
      </c>
      <c r="K22" s="73">
        <f>ABS(SUMPRODUCT(dados_comercio!K:K,-(dados_comercio!$B:$B=$B22),-(dados_comercio!$C:$C&lt;=$C22)))</f>
        <v>501.59999999999997</v>
      </c>
      <c r="L22" s="73">
        <f>ABS(SUMPRODUCT(dados_comercio!L:L,-(dados_comercio!$B:$B=$B22),-(dados_comercio!$C:$C&lt;=$C22)))</f>
        <v>443.99999999999994</v>
      </c>
      <c r="M22" s="73">
        <f>ABS(SUMPRODUCT(dados_comercio!M:M,-(dados_comercio!$B:$B=$B22),-(dados_comercio!$C:$C&lt;=$C22)))</f>
        <v>509</v>
      </c>
      <c r="N22" s="73">
        <f>ABS(SUMPRODUCT(dados_comercio!N:N,-(dados_comercio!$B:$B=$B22),-(dados_comercio!$C:$C&lt;=$C22)))</f>
        <v>748.5</v>
      </c>
      <c r="O22" s="73">
        <f>ABS(SUMPRODUCT(dados_comercio!O:O,-(dados_comercio!$B:$B=$B22),-(dados_comercio!$C:$C&lt;=$C22)))</f>
        <v>503.9</v>
      </c>
      <c r="P22" s="73">
        <f>ABS(SUMPRODUCT(dados_comercio!P:P,-(dados_comercio!$B:$B=$B22),-(dados_comercio!$C:$C&lt;=$C22)))</f>
        <v>601.9</v>
      </c>
      <c r="Q22" s="73">
        <f>ABS(SUMPRODUCT(dados_comercio!Q:Q,-(dados_comercio!$B:$B=$B22),-(dados_comercio!$C:$C&lt;=$C22)))</f>
        <v>635</v>
      </c>
      <c r="R22" s="73">
        <f>ABS(SUMPRODUCT(dados_comercio!R:R,-(dados_comercio!$B:$B=$B22),-(dados_comercio!$C:$C&lt;=$C22)))</f>
        <v>508.29999999999995</v>
      </c>
      <c r="S22" s="73">
        <f>ABS(SUMPRODUCT(dados_comercio!S:S,-(dados_comercio!$B:$B=$B22),-(dados_comercio!$C:$C&lt;=$C22)))</f>
        <v>557</v>
      </c>
    </row>
    <row r="23" spans="1:19" x14ac:dyDescent="0.2">
      <c r="A23" s="6" t="str">
        <f>dados_comercio!A23</f>
        <v>20188</v>
      </c>
      <c r="B23" s="6">
        <f>dados_comercio!B23</f>
        <v>2018</v>
      </c>
      <c r="C23" s="6">
        <f>dados_comercio!C23</f>
        <v>8</v>
      </c>
      <c r="D23" s="27">
        <f>dados_comercio!D23</f>
        <v>43313</v>
      </c>
      <c r="E23" s="73">
        <f>ABS(SUMPRODUCT(dados_comercio!E:E,-(dados_comercio!$B:$B=$B23),-(dados_comercio!$C:$C&lt;=$C23)))</f>
        <v>705.80000000000007</v>
      </c>
      <c r="F23" s="73">
        <f>ABS(SUMPRODUCT(dados_comercio!F:F,-(dados_comercio!$B:$B=$B23),-(dados_comercio!$C:$C&lt;=$C23)))</f>
        <v>675.60000000000014</v>
      </c>
      <c r="G23" s="73">
        <f>ABS(SUMPRODUCT(dados_comercio!G:G,-(dados_comercio!$B:$B=$B23),-(dados_comercio!$C:$C&lt;=$C23)))</f>
        <v>462.7</v>
      </c>
      <c r="H23" s="73">
        <f>ABS(SUMPRODUCT(dados_comercio!H:H,-(dados_comercio!$B:$B=$B23),-(dados_comercio!$C:$C&lt;=$C23)))</f>
        <v>710.2</v>
      </c>
      <c r="I23" s="73">
        <f>ABS(SUMPRODUCT(dados_comercio!I:I,-(dados_comercio!$B:$B=$B23),-(dados_comercio!$C:$C&lt;=$C23)))</f>
        <v>699.80000000000007</v>
      </c>
      <c r="J23" s="73">
        <f>ABS(SUMPRODUCT(dados_comercio!J:J,-(dados_comercio!$B:$B=$B23),-(dados_comercio!$C:$C&lt;=$C23)))</f>
        <v>578.6</v>
      </c>
      <c r="K23" s="73">
        <f>ABS(SUMPRODUCT(dados_comercio!K:K,-(dados_comercio!$B:$B=$B23),-(dados_comercio!$C:$C&lt;=$C23)))</f>
        <v>572.4</v>
      </c>
      <c r="L23" s="73">
        <f>ABS(SUMPRODUCT(dados_comercio!L:L,-(dados_comercio!$B:$B=$B23),-(dados_comercio!$C:$C&lt;=$C23)))</f>
        <v>509.79999999999995</v>
      </c>
      <c r="M23" s="73">
        <f>ABS(SUMPRODUCT(dados_comercio!M:M,-(dados_comercio!$B:$B=$B23),-(dados_comercio!$C:$C&lt;=$C23)))</f>
        <v>579.9</v>
      </c>
      <c r="N23" s="73">
        <f>ABS(SUMPRODUCT(dados_comercio!N:N,-(dados_comercio!$B:$B=$B23),-(dados_comercio!$C:$C&lt;=$C23)))</f>
        <v>861.8</v>
      </c>
      <c r="O23" s="73">
        <f>ABS(SUMPRODUCT(dados_comercio!O:O,-(dados_comercio!$B:$B=$B23),-(dados_comercio!$C:$C&lt;=$C23)))</f>
        <v>558.4</v>
      </c>
      <c r="P23" s="73">
        <f>ABS(SUMPRODUCT(dados_comercio!P:P,-(dados_comercio!$B:$B=$B23),-(dados_comercio!$C:$C&lt;=$C23)))</f>
        <v>692.5</v>
      </c>
      <c r="Q23" s="73">
        <f>ABS(SUMPRODUCT(dados_comercio!Q:Q,-(dados_comercio!$B:$B=$B23),-(dados_comercio!$C:$C&lt;=$C23)))</f>
        <v>729.9</v>
      </c>
      <c r="R23" s="73">
        <f>ABS(SUMPRODUCT(dados_comercio!R:R,-(dados_comercio!$B:$B=$B23),-(dados_comercio!$C:$C&lt;=$C23)))</f>
        <v>596.69999999999993</v>
      </c>
      <c r="S23" s="73">
        <f>ABS(SUMPRODUCT(dados_comercio!S:S,-(dados_comercio!$B:$B=$B23),-(dados_comercio!$C:$C&lt;=$C23)))</f>
        <v>642.20000000000005</v>
      </c>
    </row>
    <row r="24" spans="1:19" x14ac:dyDescent="0.2">
      <c r="A24" s="6" t="str">
        <f>dados_comercio!A24</f>
        <v>20189</v>
      </c>
      <c r="B24" s="6">
        <f>dados_comercio!B24</f>
        <v>2018</v>
      </c>
      <c r="C24" s="6">
        <f>dados_comercio!C24</f>
        <v>9</v>
      </c>
      <c r="D24" s="27">
        <f>dados_comercio!D24</f>
        <v>43344</v>
      </c>
      <c r="E24" s="73">
        <f>ABS(SUMPRODUCT(dados_comercio!E:E,-(dados_comercio!$B:$B=$B24),-(dados_comercio!$C:$C&lt;=$C24)))</f>
        <v>792.6</v>
      </c>
      <c r="F24" s="73">
        <f>ABS(SUMPRODUCT(dados_comercio!F:F,-(dados_comercio!$B:$B=$B24),-(dados_comercio!$C:$C&lt;=$C24)))</f>
        <v>758.80000000000018</v>
      </c>
      <c r="G24" s="73">
        <f>ABS(SUMPRODUCT(dados_comercio!G:G,-(dados_comercio!$B:$B=$B24),-(dados_comercio!$C:$C&lt;=$C24)))</f>
        <v>518.6</v>
      </c>
      <c r="H24" s="73">
        <f>ABS(SUMPRODUCT(dados_comercio!H:H,-(dados_comercio!$B:$B=$B24),-(dados_comercio!$C:$C&lt;=$C24)))</f>
        <v>799.5</v>
      </c>
      <c r="I24" s="73">
        <f>ABS(SUMPRODUCT(dados_comercio!I:I,-(dados_comercio!$B:$B=$B24),-(dados_comercio!$C:$C&lt;=$C24)))</f>
        <v>786.7</v>
      </c>
      <c r="J24" s="73">
        <f>ABS(SUMPRODUCT(dados_comercio!J:J,-(dados_comercio!$B:$B=$B24),-(dados_comercio!$C:$C&lt;=$C24)))</f>
        <v>651.30000000000007</v>
      </c>
      <c r="K24" s="73">
        <f>ABS(SUMPRODUCT(dados_comercio!K:K,-(dados_comercio!$B:$B=$B24),-(dados_comercio!$C:$C&lt;=$C24)))</f>
        <v>639.6</v>
      </c>
      <c r="L24" s="73">
        <f>ABS(SUMPRODUCT(dados_comercio!L:L,-(dados_comercio!$B:$B=$B24),-(dados_comercio!$C:$C&lt;=$C24)))</f>
        <v>570.09999999999991</v>
      </c>
      <c r="M24" s="73">
        <f>ABS(SUMPRODUCT(dados_comercio!M:M,-(dados_comercio!$B:$B=$B24),-(dados_comercio!$C:$C&lt;=$C24)))</f>
        <v>647.9</v>
      </c>
      <c r="N24" s="73">
        <f>ABS(SUMPRODUCT(dados_comercio!N:N,-(dados_comercio!$B:$B=$B24),-(dados_comercio!$C:$C&lt;=$C24)))</f>
        <v>967.09999999999991</v>
      </c>
      <c r="O24" s="73">
        <f>ABS(SUMPRODUCT(dados_comercio!O:O,-(dados_comercio!$B:$B=$B24),-(dados_comercio!$C:$C&lt;=$C24)))</f>
        <v>604.29999999999995</v>
      </c>
      <c r="P24" s="73">
        <f>ABS(SUMPRODUCT(dados_comercio!P:P,-(dados_comercio!$B:$B=$B24),-(dados_comercio!$C:$C&lt;=$C24)))</f>
        <v>766.9</v>
      </c>
      <c r="Q24" s="73">
        <f>ABS(SUMPRODUCT(dados_comercio!Q:Q,-(dados_comercio!$B:$B=$B24),-(dados_comercio!$C:$C&lt;=$C24)))</f>
        <v>818.6</v>
      </c>
      <c r="R24" s="73">
        <f>ABS(SUMPRODUCT(dados_comercio!R:R,-(dados_comercio!$B:$B=$B24),-(dados_comercio!$C:$C&lt;=$C24)))</f>
        <v>669.99999999999989</v>
      </c>
      <c r="S24" s="73">
        <f>ABS(SUMPRODUCT(dados_comercio!S:S,-(dados_comercio!$B:$B=$B24),-(dados_comercio!$C:$C&lt;=$C24)))</f>
        <v>720.30000000000007</v>
      </c>
    </row>
    <row r="25" spans="1:19" x14ac:dyDescent="0.2">
      <c r="A25" s="6" t="str">
        <f>dados_comercio!A25</f>
        <v>201810</v>
      </c>
      <c r="B25" s="6">
        <f>dados_comercio!B25</f>
        <v>2018</v>
      </c>
      <c r="C25" s="6">
        <f>dados_comercio!C25</f>
        <v>10</v>
      </c>
      <c r="D25" s="27">
        <f>dados_comercio!D25</f>
        <v>43374</v>
      </c>
      <c r="E25" s="73">
        <f>ABS(SUMPRODUCT(dados_comercio!E:E,-(dados_comercio!$B:$B=$B25),-(dados_comercio!$C:$C&lt;=$C25)))</f>
        <v>879.1</v>
      </c>
      <c r="F25" s="73">
        <f>ABS(SUMPRODUCT(dados_comercio!F:F,-(dados_comercio!$B:$B=$B25),-(dados_comercio!$C:$C&lt;=$C25)))</f>
        <v>845.4000000000002</v>
      </c>
      <c r="G25" s="73">
        <f>ABS(SUMPRODUCT(dados_comercio!G:G,-(dados_comercio!$B:$B=$B25),-(dados_comercio!$C:$C&lt;=$C25)))</f>
        <v>577.9</v>
      </c>
      <c r="H25" s="73">
        <f>ABS(SUMPRODUCT(dados_comercio!H:H,-(dados_comercio!$B:$B=$B25),-(dados_comercio!$C:$C&lt;=$C25)))</f>
        <v>892.6</v>
      </c>
      <c r="I25" s="73">
        <f>ABS(SUMPRODUCT(dados_comercio!I:I,-(dados_comercio!$B:$B=$B25),-(dados_comercio!$C:$C&lt;=$C25)))</f>
        <v>879.1</v>
      </c>
      <c r="J25" s="73">
        <f>ABS(SUMPRODUCT(dados_comercio!J:J,-(dados_comercio!$B:$B=$B25),-(dados_comercio!$C:$C&lt;=$C25)))</f>
        <v>725.80000000000007</v>
      </c>
      <c r="K25" s="73">
        <f>ABS(SUMPRODUCT(dados_comercio!K:K,-(dados_comercio!$B:$B=$B25),-(dados_comercio!$C:$C&lt;=$C25)))</f>
        <v>709</v>
      </c>
      <c r="L25" s="73">
        <f>ABS(SUMPRODUCT(dados_comercio!L:L,-(dados_comercio!$B:$B=$B25),-(dados_comercio!$C:$C&lt;=$C25)))</f>
        <v>633.79999999999995</v>
      </c>
      <c r="M25" s="73">
        <f>ABS(SUMPRODUCT(dados_comercio!M:M,-(dados_comercio!$B:$B=$B25),-(dados_comercio!$C:$C&lt;=$C25)))</f>
        <v>717.6</v>
      </c>
      <c r="N25" s="73">
        <f>ABS(SUMPRODUCT(dados_comercio!N:N,-(dados_comercio!$B:$B=$B25),-(dados_comercio!$C:$C&lt;=$C25)))</f>
        <v>1076.5999999999999</v>
      </c>
      <c r="O25" s="73">
        <f>ABS(SUMPRODUCT(dados_comercio!O:O,-(dados_comercio!$B:$B=$B25),-(dados_comercio!$C:$C&lt;=$C25)))</f>
        <v>659.4</v>
      </c>
      <c r="P25" s="73">
        <f>ABS(SUMPRODUCT(dados_comercio!P:P,-(dados_comercio!$B:$B=$B25),-(dados_comercio!$C:$C&lt;=$C25)))</f>
        <v>851.19999999999993</v>
      </c>
      <c r="Q25" s="73">
        <f>ABS(SUMPRODUCT(dados_comercio!Q:Q,-(dados_comercio!$B:$B=$B25),-(dados_comercio!$C:$C&lt;=$C25)))</f>
        <v>909.7</v>
      </c>
      <c r="R25" s="73">
        <f>ABS(SUMPRODUCT(dados_comercio!R:R,-(dados_comercio!$B:$B=$B25),-(dados_comercio!$C:$C&lt;=$C25)))</f>
        <v>758.09999999999991</v>
      </c>
      <c r="S25" s="73">
        <f>ABS(SUMPRODUCT(dados_comercio!S:S,-(dados_comercio!$B:$B=$B25),-(dados_comercio!$C:$C&lt;=$C25)))</f>
        <v>802.6</v>
      </c>
    </row>
    <row r="26" spans="1:19" x14ac:dyDescent="0.2">
      <c r="A26" s="6" t="str">
        <f>dados_comercio!A26</f>
        <v>201811</v>
      </c>
      <c r="B26" s="6">
        <f>dados_comercio!B26</f>
        <v>2018</v>
      </c>
      <c r="C26" s="6">
        <f>dados_comercio!C26</f>
        <v>11</v>
      </c>
      <c r="D26" s="27">
        <f>dados_comercio!D26</f>
        <v>43405</v>
      </c>
      <c r="E26" s="73">
        <f>ABS(SUMPRODUCT(dados_comercio!E:E,-(dados_comercio!$B:$B=$B26),-(dados_comercio!$C:$C&lt;=$C26)))</f>
        <v>970</v>
      </c>
      <c r="F26" s="73">
        <f>ABS(SUMPRODUCT(dados_comercio!F:F,-(dados_comercio!$B:$B=$B26),-(dados_comercio!$C:$C&lt;=$C26)))</f>
        <v>940.60000000000025</v>
      </c>
      <c r="G26" s="73">
        <f>ABS(SUMPRODUCT(dados_comercio!G:G,-(dados_comercio!$B:$B=$B26),-(dados_comercio!$C:$C&lt;=$C26)))</f>
        <v>638.1</v>
      </c>
      <c r="H26" s="73">
        <f>ABS(SUMPRODUCT(dados_comercio!H:H,-(dados_comercio!$B:$B=$B26),-(dados_comercio!$C:$C&lt;=$C26)))</f>
        <v>983.2</v>
      </c>
      <c r="I26" s="73">
        <f>ABS(SUMPRODUCT(dados_comercio!I:I,-(dados_comercio!$B:$B=$B26),-(dados_comercio!$C:$C&lt;=$C26)))</f>
        <v>970.30000000000007</v>
      </c>
      <c r="J26" s="73">
        <f>ABS(SUMPRODUCT(dados_comercio!J:J,-(dados_comercio!$B:$B=$B26),-(dados_comercio!$C:$C&lt;=$C26)))</f>
        <v>810.7</v>
      </c>
      <c r="K26" s="73">
        <f>ABS(SUMPRODUCT(dados_comercio!K:K,-(dados_comercio!$B:$B=$B26),-(dados_comercio!$C:$C&lt;=$C26)))</f>
        <v>806</v>
      </c>
      <c r="L26" s="73">
        <f>ABS(SUMPRODUCT(dados_comercio!L:L,-(dados_comercio!$B:$B=$B26),-(dados_comercio!$C:$C&lt;=$C26)))</f>
        <v>716.9</v>
      </c>
      <c r="M26" s="73">
        <f>ABS(SUMPRODUCT(dados_comercio!M:M,-(dados_comercio!$B:$B=$B26),-(dados_comercio!$C:$C&lt;=$C26)))</f>
        <v>817.1</v>
      </c>
      <c r="N26" s="73">
        <f>ABS(SUMPRODUCT(dados_comercio!N:N,-(dados_comercio!$B:$B=$B26),-(dados_comercio!$C:$C&lt;=$C26)))</f>
        <v>1184.5</v>
      </c>
      <c r="O26" s="73">
        <f>ABS(SUMPRODUCT(dados_comercio!O:O,-(dados_comercio!$B:$B=$B26),-(dados_comercio!$C:$C&lt;=$C26)))</f>
        <v>707.9</v>
      </c>
      <c r="P26" s="73">
        <f>ABS(SUMPRODUCT(dados_comercio!P:P,-(dados_comercio!$B:$B=$B26),-(dados_comercio!$C:$C&lt;=$C26)))</f>
        <v>951.99999999999989</v>
      </c>
      <c r="Q26" s="73">
        <f>ABS(SUMPRODUCT(dados_comercio!Q:Q,-(dados_comercio!$B:$B=$B26),-(dados_comercio!$C:$C&lt;=$C26)))</f>
        <v>1044.2</v>
      </c>
      <c r="R26" s="73">
        <f>ABS(SUMPRODUCT(dados_comercio!R:R,-(dados_comercio!$B:$B=$B26),-(dados_comercio!$C:$C&lt;=$C26)))</f>
        <v>842.69999999999993</v>
      </c>
      <c r="S26" s="73">
        <f>ABS(SUMPRODUCT(dados_comercio!S:S,-(dados_comercio!$B:$B=$B26),-(dados_comercio!$C:$C&lt;=$C26)))</f>
        <v>886.80000000000007</v>
      </c>
    </row>
    <row r="27" spans="1:19" x14ac:dyDescent="0.2">
      <c r="A27" s="6" t="str">
        <f>dados_comercio!A27</f>
        <v>201812</v>
      </c>
      <c r="B27" s="6">
        <f>dados_comercio!B27</f>
        <v>2018</v>
      </c>
      <c r="C27" s="6">
        <f>dados_comercio!C27</f>
        <v>12</v>
      </c>
      <c r="D27" s="27">
        <f>dados_comercio!D27</f>
        <v>43435</v>
      </c>
      <c r="E27" s="73">
        <f>ABS(SUMPRODUCT(dados_comercio!E:E,-(dados_comercio!$B:$B=$B27),-(dados_comercio!$C:$C&lt;=$C27)))</f>
        <v>1057.4000000000001</v>
      </c>
      <c r="F27" s="73">
        <f>ABS(SUMPRODUCT(dados_comercio!F:F,-(dados_comercio!$B:$B=$B27),-(dados_comercio!$C:$C&lt;=$C27)))</f>
        <v>1056.5000000000002</v>
      </c>
      <c r="G27" s="73">
        <f>ABS(SUMPRODUCT(dados_comercio!G:G,-(dados_comercio!$B:$B=$B27),-(dados_comercio!$C:$C&lt;=$C27)))</f>
        <v>705.80000000000007</v>
      </c>
      <c r="H27" s="73">
        <f>ABS(SUMPRODUCT(dados_comercio!H:H,-(dados_comercio!$B:$B=$B27),-(dados_comercio!$C:$C&lt;=$C27)))</f>
        <v>1097</v>
      </c>
      <c r="I27" s="73">
        <f>ABS(SUMPRODUCT(dados_comercio!I:I,-(dados_comercio!$B:$B=$B27),-(dados_comercio!$C:$C&lt;=$C27)))</f>
        <v>1084.8000000000002</v>
      </c>
      <c r="J27" s="73">
        <f>ABS(SUMPRODUCT(dados_comercio!J:J,-(dados_comercio!$B:$B=$B27),-(dados_comercio!$C:$C&lt;=$C27)))</f>
        <v>953</v>
      </c>
      <c r="K27" s="73">
        <f>ABS(SUMPRODUCT(dados_comercio!K:K,-(dados_comercio!$B:$B=$B27),-(dados_comercio!$C:$C&lt;=$C27)))</f>
        <v>907.8</v>
      </c>
      <c r="L27" s="73">
        <f>ABS(SUMPRODUCT(dados_comercio!L:L,-(dados_comercio!$B:$B=$B27),-(dados_comercio!$C:$C&lt;=$C27)))</f>
        <v>808.19999999999993</v>
      </c>
      <c r="M27" s="73">
        <f>ABS(SUMPRODUCT(dados_comercio!M:M,-(dados_comercio!$B:$B=$B27),-(dados_comercio!$C:$C&lt;=$C27)))</f>
        <v>920.2</v>
      </c>
      <c r="N27" s="73">
        <f>ABS(SUMPRODUCT(dados_comercio!N:N,-(dados_comercio!$B:$B=$B27),-(dados_comercio!$C:$C&lt;=$C27)))</f>
        <v>1303.5999999999999</v>
      </c>
      <c r="O27" s="73">
        <f>ABS(SUMPRODUCT(dados_comercio!O:O,-(dados_comercio!$B:$B=$B27),-(dados_comercio!$C:$C&lt;=$C27)))</f>
        <v>792.19999999999993</v>
      </c>
      <c r="P27" s="73">
        <f>ABS(SUMPRODUCT(dados_comercio!P:P,-(dados_comercio!$B:$B=$B27),-(dados_comercio!$C:$C&lt;=$C27)))</f>
        <v>1087.5999999999999</v>
      </c>
      <c r="Q27" s="73">
        <f>ABS(SUMPRODUCT(dados_comercio!Q:Q,-(dados_comercio!$B:$B=$B27),-(dados_comercio!$C:$C&lt;=$C27)))</f>
        <v>1187</v>
      </c>
      <c r="R27" s="73">
        <f>ABS(SUMPRODUCT(dados_comercio!R:R,-(dados_comercio!$B:$B=$B27),-(dados_comercio!$C:$C&lt;=$C27)))</f>
        <v>917.69999999999993</v>
      </c>
      <c r="S27" s="73">
        <f>ABS(SUMPRODUCT(dados_comercio!S:S,-(dados_comercio!$B:$B=$B27),-(dados_comercio!$C:$C&lt;=$C27)))</f>
        <v>966.50000000000011</v>
      </c>
    </row>
    <row r="28" spans="1:19" x14ac:dyDescent="0.2">
      <c r="A28" s="6" t="str">
        <f>dados_comercio!A28</f>
        <v>20191</v>
      </c>
      <c r="B28" s="6">
        <f>dados_comercio!B28</f>
        <v>2019</v>
      </c>
      <c r="C28" s="6">
        <f>dados_comercio!C28</f>
        <v>1</v>
      </c>
      <c r="D28" s="27">
        <f>dados_comercio!D28</f>
        <v>43466</v>
      </c>
      <c r="E28" s="73">
        <f>ABS(SUMPRODUCT(dados_comercio!E:E,-(dados_comercio!$B:$B=$B28),-(dados_comercio!$C:$C&lt;=$C28)))</f>
        <v>87.6</v>
      </c>
      <c r="F28" s="73">
        <f>ABS(SUMPRODUCT(dados_comercio!F:F,-(dados_comercio!$B:$B=$B28),-(dados_comercio!$C:$C&lt;=$C28)))</f>
        <v>84.7</v>
      </c>
      <c r="G28" s="73">
        <f>ABS(SUMPRODUCT(dados_comercio!G:G,-(dados_comercio!$B:$B=$B28),-(dados_comercio!$C:$C&lt;=$C28)))</f>
        <v>60.2</v>
      </c>
      <c r="H28" s="73">
        <f>ABS(SUMPRODUCT(dados_comercio!H:H,-(dados_comercio!$B:$B=$B28),-(dados_comercio!$C:$C&lt;=$C28)))</f>
        <v>89.1</v>
      </c>
      <c r="I28" s="73">
        <f>ABS(SUMPRODUCT(dados_comercio!I:I,-(dados_comercio!$B:$B=$B28),-(dados_comercio!$C:$C&lt;=$C28)))</f>
        <v>88.1</v>
      </c>
      <c r="J28" s="73">
        <f>ABS(SUMPRODUCT(dados_comercio!J:J,-(dados_comercio!$B:$B=$B28),-(dados_comercio!$C:$C&lt;=$C28)))</f>
        <v>66.900000000000006</v>
      </c>
      <c r="K28" s="73">
        <f>ABS(SUMPRODUCT(dados_comercio!K:K,-(dados_comercio!$B:$B=$B28),-(dados_comercio!$C:$C&lt;=$C28)))</f>
        <v>77.5</v>
      </c>
      <c r="L28" s="73">
        <f>ABS(SUMPRODUCT(dados_comercio!L:L,-(dados_comercio!$B:$B=$B28),-(dados_comercio!$C:$C&lt;=$C28)))</f>
        <v>66</v>
      </c>
      <c r="M28" s="73">
        <f>ABS(SUMPRODUCT(dados_comercio!M:M,-(dados_comercio!$B:$B=$B28),-(dados_comercio!$C:$C&lt;=$C28)))</f>
        <v>79.599999999999994</v>
      </c>
      <c r="N28" s="73">
        <f>ABS(SUMPRODUCT(dados_comercio!N:N,-(dados_comercio!$B:$B=$B28),-(dados_comercio!$C:$C&lt;=$C28)))</f>
        <v>109</v>
      </c>
      <c r="O28" s="73">
        <f>ABS(SUMPRODUCT(dados_comercio!O:O,-(dados_comercio!$B:$B=$B28),-(dados_comercio!$C:$C&lt;=$C28)))</f>
        <v>104.5</v>
      </c>
      <c r="P28" s="73">
        <f>ABS(SUMPRODUCT(dados_comercio!P:P,-(dados_comercio!$B:$B=$B28),-(dados_comercio!$C:$C&lt;=$C28)))</f>
        <v>92.1</v>
      </c>
      <c r="Q28" s="73">
        <f>ABS(SUMPRODUCT(dados_comercio!Q:Q,-(dados_comercio!$B:$B=$B28),-(dados_comercio!$C:$C&lt;=$C28)))</f>
        <v>86.2</v>
      </c>
      <c r="R28" s="73">
        <f>ABS(SUMPRODUCT(dados_comercio!R:R,-(dados_comercio!$B:$B=$B28),-(dados_comercio!$C:$C&lt;=$C28)))</f>
        <v>90</v>
      </c>
      <c r="S28" s="73">
        <f>ABS(SUMPRODUCT(dados_comercio!S:S,-(dados_comercio!$B:$B=$B28),-(dados_comercio!$C:$C&lt;=$C28)))</f>
        <v>81.099999999999994</v>
      </c>
    </row>
    <row r="29" spans="1:19" x14ac:dyDescent="0.2">
      <c r="A29" s="6" t="str">
        <f>dados_comercio!A29</f>
        <v>20192</v>
      </c>
      <c r="B29" s="6">
        <f>dados_comercio!B29</f>
        <v>2019</v>
      </c>
      <c r="C29" s="6">
        <f>dados_comercio!C29</f>
        <v>2</v>
      </c>
      <c r="D29" s="27">
        <f>dados_comercio!D29</f>
        <v>43497</v>
      </c>
      <c r="E29" s="73">
        <f>ABS(SUMPRODUCT(dados_comercio!E:E,-(dados_comercio!$B:$B=$B29),-(dados_comercio!$C:$C&lt;=$C29)))</f>
        <v>175.1</v>
      </c>
      <c r="F29" s="73">
        <f>ABS(SUMPRODUCT(dados_comercio!F:F,-(dados_comercio!$B:$B=$B29),-(dados_comercio!$C:$C&lt;=$C29)))</f>
        <v>165.2</v>
      </c>
      <c r="G29" s="73">
        <f>ABS(SUMPRODUCT(dados_comercio!G:G,-(dados_comercio!$B:$B=$B29),-(dados_comercio!$C:$C&lt;=$C29)))</f>
        <v>118.9</v>
      </c>
      <c r="H29" s="73">
        <f>ABS(SUMPRODUCT(dados_comercio!H:H,-(dados_comercio!$B:$B=$B29),-(dados_comercio!$C:$C&lt;=$C29)))</f>
        <v>173.89999999999998</v>
      </c>
      <c r="I29" s="73">
        <f>ABS(SUMPRODUCT(dados_comercio!I:I,-(dados_comercio!$B:$B=$B29),-(dados_comercio!$C:$C&lt;=$C29)))</f>
        <v>172.39999999999998</v>
      </c>
      <c r="J29" s="73">
        <f>ABS(SUMPRODUCT(dados_comercio!J:J,-(dados_comercio!$B:$B=$B29),-(dados_comercio!$C:$C&lt;=$C29)))</f>
        <v>130</v>
      </c>
      <c r="K29" s="73">
        <f>ABS(SUMPRODUCT(dados_comercio!K:K,-(dados_comercio!$B:$B=$B29),-(dados_comercio!$C:$C&lt;=$C29)))</f>
        <v>144.1</v>
      </c>
      <c r="L29" s="73">
        <f>ABS(SUMPRODUCT(dados_comercio!L:L,-(dados_comercio!$B:$B=$B29),-(dados_comercio!$C:$C&lt;=$C29)))</f>
        <v>129.5</v>
      </c>
      <c r="M29" s="73">
        <f>ABS(SUMPRODUCT(dados_comercio!M:M,-(dados_comercio!$B:$B=$B29),-(dados_comercio!$C:$C&lt;=$C29)))</f>
        <v>146.1</v>
      </c>
      <c r="N29" s="73">
        <f>ABS(SUMPRODUCT(dados_comercio!N:N,-(dados_comercio!$B:$B=$B29),-(dados_comercio!$C:$C&lt;=$C29)))</f>
        <v>211.5</v>
      </c>
      <c r="O29" s="73">
        <f>ABS(SUMPRODUCT(dados_comercio!O:O,-(dados_comercio!$B:$B=$B29),-(dados_comercio!$C:$C&lt;=$C29)))</f>
        <v>202.4</v>
      </c>
      <c r="P29" s="73">
        <f>ABS(SUMPRODUCT(dados_comercio!P:P,-(dados_comercio!$B:$B=$B29),-(dados_comercio!$C:$C&lt;=$C29)))</f>
        <v>230.29999999999998</v>
      </c>
      <c r="Q29" s="73">
        <f>ABS(SUMPRODUCT(dados_comercio!Q:Q,-(dados_comercio!$B:$B=$B29),-(dados_comercio!$C:$C&lt;=$C29)))</f>
        <v>169.3</v>
      </c>
      <c r="R29" s="73">
        <f>ABS(SUMPRODUCT(dados_comercio!R:R,-(dados_comercio!$B:$B=$B29),-(dados_comercio!$C:$C&lt;=$C29)))</f>
        <v>167.9</v>
      </c>
      <c r="S29" s="73">
        <f>ABS(SUMPRODUCT(dados_comercio!S:S,-(dados_comercio!$B:$B=$B29),-(dados_comercio!$C:$C&lt;=$C29)))</f>
        <v>152.1</v>
      </c>
    </row>
    <row r="30" spans="1:19" x14ac:dyDescent="0.2">
      <c r="A30" s="6" t="str">
        <f>dados_comercio!A30</f>
        <v>20193</v>
      </c>
      <c r="B30" s="6">
        <f>dados_comercio!B30</f>
        <v>2019</v>
      </c>
      <c r="C30" s="6">
        <f>dados_comercio!C30</f>
        <v>3</v>
      </c>
      <c r="D30" s="27">
        <f>dados_comercio!D30</f>
        <v>43525</v>
      </c>
      <c r="E30" s="73">
        <f>ABS(SUMPRODUCT(dados_comercio!E:E,-(dados_comercio!$B:$B=$B30),-(dados_comercio!$C:$C&lt;=$C30)))</f>
        <v>264.7</v>
      </c>
      <c r="F30" s="73">
        <f>ABS(SUMPRODUCT(dados_comercio!F:F,-(dados_comercio!$B:$B=$B30),-(dados_comercio!$C:$C&lt;=$C30)))</f>
        <v>250.2</v>
      </c>
      <c r="G30" s="73">
        <f>ABS(SUMPRODUCT(dados_comercio!G:G,-(dados_comercio!$B:$B=$B30),-(dados_comercio!$C:$C&lt;=$C30)))</f>
        <v>180.60000000000002</v>
      </c>
      <c r="H30" s="73">
        <f>ABS(SUMPRODUCT(dados_comercio!H:H,-(dados_comercio!$B:$B=$B30),-(dados_comercio!$C:$C&lt;=$C30)))</f>
        <v>264.29999999999995</v>
      </c>
      <c r="I30" s="73">
        <f>ABS(SUMPRODUCT(dados_comercio!I:I,-(dados_comercio!$B:$B=$B30),-(dados_comercio!$C:$C&lt;=$C30)))</f>
        <v>263.5</v>
      </c>
      <c r="J30" s="73">
        <f>ABS(SUMPRODUCT(dados_comercio!J:J,-(dados_comercio!$B:$B=$B30),-(dados_comercio!$C:$C&lt;=$C30)))</f>
        <v>194.2</v>
      </c>
      <c r="K30" s="73">
        <f>ABS(SUMPRODUCT(dados_comercio!K:K,-(dados_comercio!$B:$B=$B30),-(dados_comercio!$C:$C&lt;=$C30)))</f>
        <v>214.1</v>
      </c>
      <c r="L30" s="73">
        <f>ABS(SUMPRODUCT(dados_comercio!L:L,-(dados_comercio!$B:$B=$B30),-(dados_comercio!$C:$C&lt;=$C30)))</f>
        <v>187.3</v>
      </c>
      <c r="M30" s="73">
        <f>ABS(SUMPRODUCT(dados_comercio!M:M,-(dados_comercio!$B:$B=$B30),-(dados_comercio!$C:$C&lt;=$C30)))</f>
        <v>218.7</v>
      </c>
      <c r="N30" s="73">
        <f>ABS(SUMPRODUCT(dados_comercio!N:N,-(dados_comercio!$B:$B=$B30),-(dados_comercio!$C:$C&lt;=$C30)))</f>
        <v>320.89999999999998</v>
      </c>
      <c r="O30" s="73">
        <f>ABS(SUMPRODUCT(dados_comercio!O:O,-(dados_comercio!$B:$B=$B30),-(dados_comercio!$C:$C&lt;=$C30)))</f>
        <v>249.2</v>
      </c>
      <c r="P30" s="73">
        <f>ABS(SUMPRODUCT(dados_comercio!P:P,-(dados_comercio!$B:$B=$B30),-(dados_comercio!$C:$C&lt;=$C30)))</f>
        <v>334.2</v>
      </c>
      <c r="Q30" s="73">
        <f>ABS(SUMPRODUCT(dados_comercio!Q:Q,-(dados_comercio!$B:$B=$B30),-(dados_comercio!$C:$C&lt;=$C30)))</f>
        <v>263.20000000000005</v>
      </c>
      <c r="R30" s="73">
        <f>ABS(SUMPRODUCT(dados_comercio!R:R,-(dados_comercio!$B:$B=$B30),-(dados_comercio!$C:$C&lt;=$C30)))</f>
        <v>241.5</v>
      </c>
      <c r="S30" s="73">
        <f>ABS(SUMPRODUCT(dados_comercio!S:S,-(dados_comercio!$B:$B=$B30),-(dados_comercio!$C:$C&lt;=$C30)))</f>
        <v>219.1</v>
      </c>
    </row>
    <row r="31" spans="1:19" x14ac:dyDescent="0.2">
      <c r="A31" s="6" t="str">
        <f>dados_comercio!A31</f>
        <v>20194</v>
      </c>
      <c r="B31" s="6">
        <f>dados_comercio!B31</f>
        <v>2019</v>
      </c>
      <c r="C31" s="6">
        <f>dados_comercio!C31</f>
        <v>4</v>
      </c>
      <c r="D31" s="27">
        <f>dados_comercio!D31</f>
        <v>43556</v>
      </c>
      <c r="E31" s="73">
        <f>ABS(SUMPRODUCT(dados_comercio!E:E,-(dados_comercio!$B:$B=$B31),-(dados_comercio!$C:$C&lt;=$C31)))</f>
        <v>351.79999999999995</v>
      </c>
      <c r="F31" s="73">
        <f>ABS(SUMPRODUCT(dados_comercio!F:F,-(dados_comercio!$B:$B=$B31),-(dados_comercio!$C:$C&lt;=$C31)))</f>
        <v>331.79999999999995</v>
      </c>
      <c r="G31" s="73">
        <f>ABS(SUMPRODUCT(dados_comercio!G:G,-(dados_comercio!$B:$B=$B31),-(dados_comercio!$C:$C&lt;=$C31)))</f>
        <v>239.50000000000003</v>
      </c>
      <c r="H31" s="73">
        <f>ABS(SUMPRODUCT(dados_comercio!H:H,-(dados_comercio!$B:$B=$B31),-(dados_comercio!$C:$C&lt;=$C31)))</f>
        <v>349.9</v>
      </c>
      <c r="I31" s="73">
        <f>ABS(SUMPRODUCT(dados_comercio!I:I,-(dados_comercio!$B:$B=$B31),-(dados_comercio!$C:$C&lt;=$C31)))</f>
        <v>349.1</v>
      </c>
      <c r="J31" s="73">
        <f>ABS(SUMPRODUCT(dados_comercio!J:J,-(dados_comercio!$B:$B=$B31),-(dados_comercio!$C:$C&lt;=$C31)))</f>
        <v>260</v>
      </c>
      <c r="K31" s="73">
        <f>ABS(SUMPRODUCT(dados_comercio!K:K,-(dados_comercio!$B:$B=$B31),-(dados_comercio!$C:$C&lt;=$C31)))</f>
        <v>279.2</v>
      </c>
      <c r="L31" s="73">
        <f>ABS(SUMPRODUCT(dados_comercio!L:L,-(dados_comercio!$B:$B=$B31),-(dados_comercio!$C:$C&lt;=$C31)))</f>
        <v>243.9</v>
      </c>
      <c r="M31" s="73">
        <f>ABS(SUMPRODUCT(dados_comercio!M:M,-(dados_comercio!$B:$B=$B31),-(dados_comercio!$C:$C&lt;=$C31)))</f>
        <v>285.39999999999998</v>
      </c>
      <c r="N31" s="73">
        <f>ABS(SUMPRODUCT(dados_comercio!N:N,-(dados_comercio!$B:$B=$B31),-(dados_comercio!$C:$C&lt;=$C31)))</f>
        <v>427.59999999999997</v>
      </c>
      <c r="O31" s="73">
        <f>ABS(SUMPRODUCT(dados_comercio!O:O,-(dados_comercio!$B:$B=$B31),-(dados_comercio!$C:$C&lt;=$C31)))</f>
        <v>291</v>
      </c>
      <c r="P31" s="73">
        <f>ABS(SUMPRODUCT(dados_comercio!P:P,-(dados_comercio!$B:$B=$B31),-(dados_comercio!$C:$C&lt;=$C31)))</f>
        <v>425.6</v>
      </c>
      <c r="Q31" s="73">
        <f>ABS(SUMPRODUCT(dados_comercio!Q:Q,-(dados_comercio!$B:$B=$B31),-(dados_comercio!$C:$C&lt;=$C31)))</f>
        <v>355.90000000000003</v>
      </c>
      <c r="R31" s="73">
        <f>ABS(SUMPRODUCT(dados_comercio!R:R,-(dados_comercio!$B:$B=$B31),-(dados_comercio!$C:$C&lt;=$C31)))</f>
        <v>324.3</v>
      </c>
      <c r="S31" s="73">
        <f>ABS(SUMPRODUCT(dados_comercio!S:S,-(dados_comercio!$B:$B=$B31),-(dados_comercio!$C:$C&lt;=$C31)))</f>
        <v>291.2</v>
      </c>
    </row>
    <row r="32" spans="1:19" x14ac:dyDescent="0.2">
      <c r="A32" s="6" t="str">
        <f>dados_comercio!A32</f>
        <v>20195</v>
      </c>
      <c r="B32" s="6">
        <f>dados_comercio!B32</f>
        <v>2019</v>
      </c>
      <c r="C32" s="6">
        <f>dados_comercio!C32</f>
        <v>5</v>
      </c>
      <c r="D32" s="27">
        <f>dados_comercio!D32</f>
        <v>43586</v>
      </c>
      <c r="E32" s="73">
        <f>ABS(SUMPRODUCT(dados_comercio!E:E,-(dados_comercio!$B:$B=$B32),-(dados_comercio!$C:$C&lt;=$C32)))</f>
        <v>437.69999999999993</v>
      </c>
      <c r="F32" s="73">
        <f>ABS(SUMPRODUCT(dados_comercio!F:F,-(dados_comercio!$B:$B=$B32),-(dados_comercio!$C:$C&lt;=$C32)))</f>
        <v>416.29999999999995</v>
      </c>
      <c r="G32" s="73">
        <f>ABS(SUMPRODUCT(dados_comercio!G:G,-(dados_comercio!$B:$B=$B32),-(dados_comercio!$C:$C&lt;=$C32)))</f>
        <v>298.8</v>
      </c>
      <c r="H32" s="73">
        <f>ABS(SUMPRODUCT(dados_comercio!H:H,-(dados_comercio!$B:$B=$B32),-(dados_comercio!$C:$C&lt;=$C32)))</f>
        <v>439</v>
      </c>
      <c r="I32" s="73">
        <f>ABS(SUMPRODUCT(dados_comercio!I:I,-(dados_comercio!$B:$B=$B32),-(dados_comercio!$C:$C&lt;=$C32)))</f>
        <v>438.90000000000003</v>
      </c>
      <c r="J32" s="73">
        <f>ABS(SUMPRODUCT(dados_comercio!J:J,-(dados_comercio!$B:$B=$B32),-(dados_comercio!$C:$C&lt;=$C32)))</f>
        <v>334.2</v>
      </c>
      <c r="K32" s="73">
        <f>ABS(SUMPRODUCT(dados_comercio!K:K,-(dados_comercio!$B:$B=$B32),-(dados_comercio!$C:$C&lt;=$C32)))</f>
        <v>352.29999999999995</v>
      </c>
      <c r="L32" s="73">
        <f>ABS(SUMPRODUCT(dados_comercio!L:L,-(dados_comercio!$B:$B=$B32),-(dados_comercio!$C:$C&lt;=$C32)))</f>
        <v>306.3</v>
      </c>
      <c r="M32" s="73">
        <f>ABS(SUMPRODUCT(dados_comercio!M:M,-(dados_comercio!$B:$B=$B32),-(dados_comercio!$C:$C&lt;=$C32)))</f>
        <v>360.5</v>
      </c>
      <c r="N32" s="73">
        <f>ABS(SUMPRODUCT(dados_comercio!N:N,-(dados_comercio!$B:$B=$B32),-(dados_comercio!$C:$C&lt;=$C32)))</f>
        <v>539.4</v>
      </c>
      <c r="O32" s="73">
        <f>ABS(SUMPRODUCT(dados_comercio!O:O,-(dados_comercio!$B:$B=$B32),-(dados_comercio!$C:$C&lt;=$C32)))</f>
        <v>334.4</v>
      </c>
      <c r="P32" s="73">
        <f>ABS(SUMPRODUCT(dados_comercio!P:P,-(dados_comercio!$B:$B=$B32),-(dados_comercio!$C:$C&lt;=$C32)))</f>
        <v>534.30000000000007</v>
      </c>
      <c r="Q32" s="73">
        <f>ABS(SUMPRODUCT(dados_comercio!Q:Q,-(dados_comercio!$B:$B=$B32),-(dados_comercio!$C:$C&lt;=$C32)))</f>
        <v>441.30000000000007</v>
      </c>
      <c r="R32" s="73">
        <f>ABS(SUMPRODUCT(dados_comercio!R:R,-(dados_comercio!$B:$B=$B32),-(dados_comercio!$C:$C&lt;=$C32)))</f>
        <v>409.4</v>
      </c>
      <c r="S32" s="73">
        <f>ABS(SUMPRODUCT(dados_comercio!S:S,-(dados_comercio!$B:$B=$B32),-(dados_comercio!$C:$C&lt;=$C32)))</f>
        <v>369.2</v>
      </c>
    </row>
    <row r="33" spans="1:19" x14ac:dyDescent="0.2">
      <c r="A33" s="6" t="str">
        <f>dados_comercio!A33</f>
        <v>20196</v>
      </c>
      <c r="B33" s="6">
        <f>dados_comercio!B33</f>
        <v>2019</v>
      </c>
      <c r="C33" s="6">
        <f>dados_comercio!C33</f>
        <v>6</v>
      </c>
      <c r="D33" s="27">
        <f>dados_comercio!D33</f>
        <v>43617</v>
      </c>
      <c r="E33" s="73">
        <f>ABS(SUMPRODUCT(dados_comercio!E:E,-(dados_comercio!$B:$B=$B33),-(dados_comercio!$C:$C&lt;=$C33)))</f>
        <v>525.09999999999991</v>
      </c>
      <c r="F33" s="73">
        <f>ABS(SUMPRODUCT(dados_comercio!F:F,-(dados_comercio!$B:$B=$B33),-(dados_comercio!$C:$C&lt;=$C33)))</f>
        <v>497.99999999999994</v>
      </c>
      <c r="G33" s="73">
        <f>ABS(SUMPRODUCT(dados_comercio!G:G,-(dados_comercio!$B:$B=$B33),-(dados_comercio!$C:$C&lt;=$C33)))</f>
        <v>357.7</v>
      </c>
      <c r="H33" s="73">
        <f>ABS(SUMPRODUCT(dados_comercio!H:H,-(dados_comercio!$B:$B=$B33),-(dados_comercio!$C:$C&lt;=$C33)))</f>
        <v>525.29999999999995</v>
      </c>
      <c r="I33" s="73">
        <f>ABS(SUMPRODUCT(dados_comercio!I:I,-(dados_comercio!$B:$B=$B33),-(dados_comercio!$C:$C&lt;=$C33)))</f>
        <v>525</v>
      </c>
      <c r="J33" s="73">
        <f>ABS(SUMPRODUCT(dados_comercio!J:J,-(dados_comercio!$B:$B=$B33),-(dados_comercio!$C:$C&lt;=$C33)))</f>
        <v>408.2</v>
      </c>
      <c r="K33" s="73">
        <f>ABS(SUMPRODUCT(dados_comercio!K:K,-(dados_comercio!$B:$B=$B33),-(dados_comercio!$C:$C&lt;=$C33)))</f>
        <v>415.69999999999993</v>
      </c>
      <c r="L33" s="73">
        <f>ABS(SUMPRODUCT(dados_comercio!L:L,-(dados_comercio!$B:$B=$B33),-(dados_comercio!$C:$C&lt;=$C33)))</f>
        <v>362.7</v>
      </c>
      <c r="M33" s="73">
        <f>ABS(SUMPRODUCT(dados_comercio!M:M,-(dados_comercio!$B:$B=$B33),-(dados_comercio!$C:$C&lt;=$C33)))</f>
        <v>424.9</v>
      </c>
      <c r="N33" s="73">
        <f>ABS(SUMPRODUCT(dados_comercio!N:N,-(dados_comercio!$B:$B=$B33),-(dados_comercio!$C:$C&lt;=$C33)))</f>
        <v>643.29999999999995</v>
      </c>
      <c r="O33" s="73">
        <f>ABS(SUMPRODUCT(dados_comercio!O:O,-(dados_comercio!$B:$B=$B33),-(dados_comercio!$C:$C&lt;=$C33)))</f>
        <v>373.29999999999995</v>
      </c>
      <c r="P33" s="73">
        <f>ABS(SUMPRODUCT(dados_comercio!P:P,-(dados_comercio!$B:$B=$B33),-(dados_comercio!$C:$C&lt;=$C33)))</f>
        <v>613.30000000000007</v>
      </c>
      <c r="Q33" s="73">
        <f>ABS(SUMPRODUCT(dados_comercio!Q:Q,-(dados_comercio!$B:$B=$B33),-(dados_comercio!$C:$C&lt;=$C33)))</f>
        <v>530.20000000000005</v>
      </c>
      <c r="R33" s="73">
        <f>ABS(SUMPRODUCT(dados_comercio!R:R,-(dados_comercio!$B:$B=$B33),-(dados_comercio!$C:$C&lt;=$C33)))</f>
        <v>496</v>
      </c>
      <c r="S33" s="73">
        <f>ABS(SUMPRODUCT(dados_comercio!S:S,-(dados_comercio!$B:$B=$B33),-(dados_comercio!$C:$C&lt;=$C33)))</f>
        <v>440.1</v>
      </c>
    </row>
    <row r="34" spans="1:19" x14ac:dyDescent="0.2">
      <c r="A34" s="6" t="str">
        <f>dados_comercio!A34</f>
        <v>20197</v>
      </c>
      <c r="B34" s="6">
        <f>dados_comercio!B34</f>
        <v>2019</v>
      </c>
      <c r="C34" s="6">
        <f>dados_comercio!C34</f>
        <v>7</v>
      </c>
      <c r="D34" s="27">
        <f>dados_comercio!D34</f>
        <v>43647</v>
      </c>
      <c r="E34" s="73">
        <f>ABS(SUMPRODUCT(dados_comercio!E:E,-(dados_comercio!$B:$B=$B34),-(dados_comercio!$C:$C&lt;=$C34)))</f>
        <v>614.89999999999986</v>
      </c>
      <c r="F34" s="73">
        <f>ABS(SUMPRODUCT(dados_comercio!F:F,-(dados_comercio!$B:$B=$B34),-(dados_comercio!$C:$C&lt;=$C34)))</f>
        <v>584.59999999999991</v>
      </c>
      <c r="G34" s="73">
        <f>ABS(SUMPRODUCT(dados_comercio!G:G,-(dados_comercio!$B:$B=$B34),-(dados_comercio!$C:$C&lt;=$C34)))</f>
        <v>418.4</v>
      </c>
      <c r="H34" s="73">
        <f>ABS(SUMPRODUCT(dados_comercio!H:H,-(dados_comercio!$B:$B=$B34),-(dados_comercio!$C:$C&lt;=$C34)))</f>
        <v>613.79999999999995</v>
      </c>
      <c r="I34" s="73">
        <f>ABS(SUMPRODUCT(dados_comercio!I:I,-(dados_comercio!$B:$B=$B34),-(dados_comercio!$C:$C&lt;=$C34)))</f>
        <v>612.6</v>
      </c>
      <c r="J34" s="73">
        <f>ABS(SUMPRODUCT(dados_comercio!J:J,-(dados_comercio!$B:$B=$B34),-(dados_comercio!$C:$C&lt;=$C34)))</f>
        <v>490.2</v>
      </c>
      <c r="K34" s="73">
        <f>ABS(SUMPRODUCT(dados_comercio!K:K,-(dados_comercio!$B:$B=$B34),-(dados_comercio!$C:$C&lt;=$C34)))</f>
        <v>496.69999999999993</v>
      </c>
      <c r="L34" s="73">
        <f>ABS(SUMPRODUCT(dados_comercio!L:L,-(dados_comercio!$B:$B=$B34),-(dados_comercio!$C:$C&lt;=$C34)))</f>
        <v>434.2</v>
      </c>
      <c r="M34" s="73">
        <f>ABS(SUMPRODUCT(dados_comercio!M:M,-(dados_comercio!$B:$B=$B34),-(dados_comercio!$C:$C&lt;=$C34)))</f>
        <v>507.5</v>
      </c>
      <c r="N34" s="73">
        <f>ABS(SUMPRODUCT(dados_comercio!N:N,-(dados_comercio!$B:$B=$B34),-(dados_comercio!$C:$C&lt;=$C34)))</f>
        <v>757.9</v>
      </c>
      <c r="O34" s="73">
        <f>ABS(SUMPRODUCT(dados_comercio!O:O,-(dados_comercio!$B:$B=$B34),-(dados_comercio!$C:$C&lt;=$C34)))</f>
        <v>417.59999999999997</v>
      </c>
      <c r="P34" s="73">
        <f>ABS(SUMPRODUCT(dados_comercio!P:P,-(dados_comercio!$B:$B=$B34),-(dados_comercio!$C:$C&lt;=$C34)))</f>
        <v>693.40000000000009</v>
      </c>
      <c r="Q34" s="73">
        <f>ABS(SUMPRODUCT(dados_comercio!Q:Q,-(dados_comercio!$B:$B=$B34),-(dados_comercio!$C:$C&lt;=$C34)))</f>
        <v>620.80000000000007</v>
      </c>
      <c r="R34" s="73">
        <f>ABS(SUMPRODUCT(dados_comercio!R:R,-(dados_comercio!$B:$B=$B34),-(dados_comercio!$C:$C&lt;=$C34)))</f>
        <v>591.20000000000005</v>
      </c>
      <c r="S34" s="73">
        <f>ABS(SUMPRODUCT(dados_comercio!S:S,-(dados_comercio!$B:$B=$B34),-(dados_comercio!$C:$C&lt;=$C34)))</f>
        <v>523.80000000000007</v>
      </c>
    </row>
    <row r="35" spans="1:19" x14ac:dyDescent="0.2">
      <c r="A35" s="6" t="str">
        <f>dados_comercio!A35</f>
        <v>20198</v>
      </c>
      <c r="B35" s="6">
        <f>dados_comercio!B35</f>
        <v>2019</v>
      </c>
      <c r="C35" s="6">
        <f>dados_comercio!C35</f>
        <v>8</v>
      </c>
      <c r="D35" s="27">
        <f>dados_comercio!D35</f>
        <v>43678</v>
      </c>
      <c r="E35" s="73">
        <f>ABS(SUMPRODUCT(dados_comercio!E:E,-(dados_comercio!$B:$B=$B35),-(dados_comercio!$C:$C&lt;=$C35)))</f>
        <v>702.99999999999989</v>
      </c>
      <c r="F35" s="73">
        <f>ABS(SUMPRODUCT(dados_comercio!F:F,-(dados_comercio!$B:$B=$B35),-(dados_comercio!$C:$C&lt;=$C35)))</f>
        <v>673.3</v>
      </c>
      <c r="G35" s="73">
        <f>ABS(SUMPRODUCT(dados_comercio!G:G,-(dados_comercio!$B:$B=$B35),-(dados_comercio!$C:$C&lt;=$C35)))</f>
        <v>480.09999999999997</v>
      </c>
      <c r="H35" s="73">
        <f>ABS(SUMPRODUCT(dados_comercio!H:H,-(dados_comercio!$B:$B=$B35),-(dados_comercio!$C:$C&lt;=$C35)))</f>
        <v>707.9</v>
      </c>
      <c r="I35" s="73">
        <f>ABS(SUMPRODUCT(dados_comercio!I:I,-(dados_comercio!$B:$B=$B35),-(dados_comercio!$C:$C&lt;=$C35)))</f>
        <v>705.4</v>
      </c>
      <c r="J35" s="73">
        <f>ABS(SUMPRODUCT(dados_comercio!J:J,-(dados_comercio!$B:$B=$B35),-(dados_comercio!$C:$C&lt;=$C35)))</f>
        <v>566.20000000000005</v>
      </c>
      <c r="K35" s="73">
        <f>ABS(SUMPRODUCT(dados_comercio!K:K,-(dados_comercio!$B:$B=$B35),-(dados_comercio!$C:$C&lt;=$C35)))</f>
        <v>565.19999999999993</v>
      </c>
      <c r="L35" s="73">
        <f>ABS(SUMPRODUCT(dados_comercio!L:L,-(dados_comercio!$B:$B=$B35),-(dados_comercio!$C:$C&lt;=$C35)))</f>
        <v>501.29999999999995</v>
      </c>
      <c r="M35" s="73">
        <f>ABS(SUMPRODUCT(dados_comercio!M:M,-(dados_comercio!$B:$B=$B35),-(dados_comercio!$C:$C&lt;=$C35)))</f>
        <v>575.5</v>
      </c>
      <c r="N35" s="73">
        <f>ABS(SUMPRODUCT(dados_comercio!N:N,-(dados_comercio!$B:$B=$B35),-(dados_comercio!$C:$C&lt;=$C35)))</f>
        <v>872.5</v>
      </c>
      <c r="O35" s="73">
        <f>ABS(SUMPRODUCT(dados_comercio!O:O,-(dados_comercio!$B:$B=$B35),-(dados_comercio!$C:$C&lt;=$C35)))</f>
        <v>462.79999999999995</v>
      </c>
      <c r="P35" s="73">
        <f>ABS(SUMPRODUCT(dados_comercio!P:P,-(dados_comercio!$B:$B=$B35),-(dados_comercio!$C:$C&lt;=$C35)))</f>
        <v>774.2</v>
      </c>
      <c r="Q35" s="73">
        <f>ABS(SUMPRODUCT(dados_comercio!Q:Q,-(dados_comercio!$B:$B=$B35),-(dados_comercio!$C:$C&lt;=$C35)))</f>
        <v>719.6</v>
      </c>
      <c r="R35" s="73">
        <f>ABS(SUMPRODUCT(dados_comercio!R:R,-(dados_comercio!$B:$B=$B35),-(dados_comercio!$C:$C&lt;=$C35)))</f>
        <v>674.1</v>
      </c>
      <c r="S35" s="73">
        <f>ABS(SUMPRODUCT(dados_comercio!S:S,-(dados_comercio!$B:$B=$B35),-(dados_comercio!$C:$C&lt;=$C35)))</f>
        <v>601.1</v>
      </c>
    </row>
    <row r="36" spans="1:19" x14ac:dyDescent="0.2">
      <c r="A36" s="6" t="str">
        <f>dados_comercio!A36</f>
        <v>20199</v>
      </c>
      <c r="B36" s="6">
        <f>dados_comercio!B36</f>
        <v>2019</v>
      </c>
      <c r="C36" s="6">
        <f>dados_comercio!C36</f>
        <v>9</v>
      </c>
      <c r="D36" s="27">
        <f>dados_comercio!D36</f>
        <v>43709</v>
      </c>
      <c r="E36" s="73">
        <f>ABS(SUMPRODUCT(dados_comercio!E:E,-(dados_comercio!$B:$B=$B36),-(dados_comercio!$C:$C&lt;=$C36)))</f>
        <v>791.59999999999991</v>
      </c>
      <c r="F36" s="73">
        <f>ABS(SUMPRODUCT(dados_comercio!F:F,-(dados_comercio!$B:$B=$B36),-(dados_comercio!$C:$C&lt;=$C36)))</f>
        <v>757.5</v>
      </c>
      <c r="G36" s="73">
        <f>ABS(SUMPRODUCT(dados_comercio!G:G,-(dados_comercio!$B:$B=$B36),-(dados_comercio!$C:$C&lt;=$C36)))</f>
        <v>540.9</v>
      </c>
      <c r="H36" s="73">
        <f>ABS(SUMPRODUCT(dados_comercio!H:H,-(dados_comercio!$B:$B=$B36),-(dados_comercio!$C:$C&lt;=$C36)))</f>
        <v>795.1</v>
      </c>
      <c r="I36" s="73">
        <f>ABS(SUMPRODUCT(dados_comercio!I:I,-(dados_comercio!$B:$B=$B36),-(dados_comercio!$C:$C&lt;=$C36)))</f>
        <v>790.69999999999993</v>
      </c>
      <c r="J36" s="73">
        <f>ABS(SUMPRODUCT(dados_comercio!J:J,-(dados_comercio!$B:$B=$B36),-(dados_comercio!$C:$C&lt;=$C36)))</f>
        <v>635.70000000000005</v>
      </c>
      <c r="K36" s="73">
        <f>ABS(SUMPRODUCT(dados_comercio!K:K,-(dados_comercio!$B:$B=$B36),-(dados_comercio!$C:$C&lt;=$C36)))</f>
        <v>639.4</v>
      </c>
      <c r="L36" s="73">
        <f>ABS(SUMPRODUCT(dados_comercio!L:L,-(dados_comercio!$B:$B=$B36),-(dados_comercio!$C:$C&lt;=$C36)))</f>
        <v>566.69999999999993</v>
      </c>
      <c r="M36" s="73">
        <f>ABS(SUMPRODUCT(dados_comercio!M:M,-(dados_comercio!$B:$B=$B36),-(dados_comercio!$C:$C&lt;=$C36)))</f>
        <v>651.20000000000005</v>
      </c>
      <c r="N36" s="73">
        <f>ABS(SUMPRODUCT(dados_comercio!N:N,-(dados_comercio!$B:$B=$B36),-(dados_comercio!$C:$C&lt;=$C36)))</f>
        <v>981.8</v>
      </c>
      <c r="O36" s="73">
        <f>ABS(SUMPRODUCT(dados_comercio!O:O,-(dados_comercio!$B:$B=$B36),-(dados_comercio!$C:$C&lt;=$C36)))</f>
        <v>500.69999999999993</v>
      </c>
      <c r="P36" s="73">
        <f>ABS(SUMPRODUCT(dados_comercio!P:P,-(dados_comercio!$B:$B=$B36),-(dados_comercio!$C:$C&lt;=$C36)))</f>
        <v>859.5</v>
      </c>
      <c r="Q36" s="73">
        <f>ABS(SUMPRODUCT(dados_comercio!Q:Q,-(dados_comercio!$B:$B=$B36),-(dados_comercio!$C:$C&lt;=$C36)))</f>
        <v>814.5</v>
      </c>
      <c r="R36" s="73">
        <f>ABS(SUMPRODUCT(dados_comercio!R:R,-(dados_comercio!$B:$B=$B36),-(dados_comercio!$C:$C&lt;=$C36)))</f>
        <v>753.6</v>
      </c>
      <c r="S36" s="73">
        <f>ABS(SUMPRODUCT(dados_comercio!S:S,-(dados_comercio!$B:$B=$B36),-(dados_comercio!$C:$C&lt;=$C36)))</f>
        <v>675.9</v>
      </c>
    </row>
    <row r="37" spans="1:19" x14ac:dyDescent="0.2">
      <c r="A37" s="6" t="str">
        <f>dados_comercio!A37</f>
        <v>201910</v>
      </c>
      <c r="B37" s="6">
        <f>dados_comercio!B37</f>
        <v>2019</v>
      </c>
      <c r="C37" s="6">
        <f>dados_comercio!C37</f>
        <v>10</v>
      </c>
      <c r="D37" s="27">
        <f>dados_comercio!D37</f>
        <v>43739</v>
      </c>
      <c r="E37" s="73">
        <f>ABS(SUMPRODUCT(dados_comercio!E:E,-(dados_comercio!$B:$B=$B37),-(dados_comercio!$C:$C&lt;=$C37)))</f>
        <v>879.8</v>
      </c>
      <c r="F37" s="73">
        <f>ABS(SUMPRODUCT(dados_comercio!F:F,-(dados_comercio!$B:$B=$B37),-(dados_comercio!$C:$C&lt;=$C37)))</f>
        <v>845.7</v>
      </c>
      <c r="G37" s="73">
        <f>ABS(SUMPRODUCT(dados_comercio!G:G,-(dados_comercio!$B:$B=$B37),-(dados_comercio!$C:$C&lt;=$C37)))</f>
        <v>604.5</v>
      </c>
      <c r="H37" s="73">
        <f>ABS(SUMPRODUCT(dados_comercio!H:H,-(dados_comercio!$B:$B=$B37),-(dados_comercio!$C:$C&lt;=$C37)))</f>
        <v>887.9</v>
      </c>
      <c r="I37" s="73">
        <f>ABS(SUMPRODUCT(dados_comercio!I:I,-(dados_comercio!$B:$B=$B37),-(dados_comercio!$C:$C&lt;=$C37)))</f>
        <v>882.49999999999989</v>
      </c>
      <c r="J37" s="73">
        <f>ABS(SUMPRODUCT(dados_comercio!J:J,-(dados_comercio!$B:$B=$B37),-(dados_comercio!$C:$C&lt;=$C37)))</f>
        <v>707.6</v>
      </c>
      <c r="K37" s="73">
        <f>ABS(SUMPRODUCT(dados_comercio!K:K,-(dados_comercio!$B:$B=$B37),-(dados_comercio!$C:$C&lt;=$C37)))</f>
        <v>713.4</v>
      </c>
      <c r="L37" s="73">
        <f>ABS(SUMPRODUCT(dados_comercio!L:L,-(dados_comercio!$B:$B=$B37),-(dados_comercio!$C:$C&lt;=$C37)))</f>
        <v>626.19999999999993</v>
      </c>
      <c r="M37" s="73">
        <f>ABS(SUMPRODUCT(dados_comercio!M:M,-(dados_comercio!$B:$B=$B37),-(dados_comercio!$C:$C&lt;=$C37)))</f>
        <v>728.40000000000009</v>
      </c>
      <c r="N37" s="73">
        <f>ABS(SUMPRODUCT(dados_comercio!N:N,-(dados_comercio!$B:$B=$B37),-(dados_comercio!$C:$C&lt;=$C37)))</f>
        <v>1095.5999999999999</v>
      </c>
      <c r="O37" s="73">
        <f>ABS(SUMPRODUCT(dados_comercio!O:O,-(dados_comercio!$B:$B=$B37),-(dados_comercio!$C:$C&lt;=$C37)))</f>
        <v>545.99999999999989</v>
      </c>
      <c r="P37" s="73">
        <f>ABS(SUMPRODUCT(dados_comercio!P:P,-(dados_comercio!$B:$B=$B37),-(dados_comercio!$C:$C&lt;=$C37)))</f>
        <v>980.8</v>
      </c>
      <c r="Q37" s="73">
        <f>ABS(SUMPRODUCT(dados_comercio!Q:Q,-(dados_comercio!$B:$B=$B37),-(dados_comercio!$C:$C&lt;=$C37)))</f>
        <v>910</v>
      </c>
      <c r="R37" s="73">
        <f>ABS(SUMPRODUCT(dados_comercio!R:R,-(dados_comercio!$B:$B=$B37),-(dados_comercio!$C:$C&lt;=$C37)))</f>
        <v>835.4</v>
      </c>
      <c r="S37" s="73">
        <f>ABS(SUMPRODUCT(dados_comercio!S:S,-(dados_comercio!$B:$B=$B37),-(dados_comercio!$C:$C&lt;=$C37)))</f>
        <v>759.3</v>
      </c>
    </row>
    <row r="38" spans="1:19" x14ac:dyDescent="0.2">
      <c r="A38" s="6" t="str">
        <f>dados_comercio!A38</f>
        <v>201911</v>
      </c>
      <c r="B38" s="6">
        <f>dados_comercio!B38</f>
        <v>2019</v>
      </c>
      <c r="C38" s="6">
        <f>dados_comercio!C38</f>
        <v>11</v>
      </c>
      <c r="D38" s="27">
        <f>dados_comercio!D38</f>
        <v>43770</v>
      </c>
      <c r="E38" s="73">
        <f>ABS(SUMPRODUCT(dados_comercio!E:E,-(dados_comercio!$B:$B=$B38),-(dados_comercio!$C:$C&lt;=$C38)))</f>
        <v>969.09999999999991</v>
      </c>
      <c r="F38" s="73">
        <f>ABS(SUMPRODUCT(dados_comercio!F:F,-(dados_comercio!$B:$B=$B38),-(dados_comercio!$C:$C&lt;=$C38)))</f>
        <v>940.5</v>
      </c>
      <c r="G38" s="73">
        <f>ABS(SUMPRODUCT(dados_comercio!G:G,-(dados_comercio!$B:$B=$B38),-(dados_comercio!$C:$C&lt;=$C38)))</f>
        <v>666</v>
      </c>
      <c r="H38" s="73">
        <f>ABS(SUMPRODUCT(dados_comercio!H:H,-(dados_comercio!$B:$B=$B38),-(dados_comercio!$C:$C&lt;=$C38)))</f>
        <v>982.1</v>
      </c>
      <c r="I38" s="73">
        <f>ABS(SUMPRODUCT(dados_comercio!I:I,-(dados_comercio!$B:$B=$B38),-(dados_comercio!$C:$C&lt;=$C38)))</f>
        <v>975.59999999999991</v>
      </c>
      <c r="J38" s="73">
        <f>ABS(SUMPRODUCT(dados_comercio!J:J,-(dados_comercio!$B:$B=$B38),-(dados_comercio!$C:$C&lt;=$C38)))</f>
        <v>792.80000000000007</v>
      </c>
      <c r="K38" s="73">
        <f>ABS(SUMPRODUCT(dados_comercio!K:K,-(dados_comercio!$B:$B=$B38),-(dados_comercio!$C:$C&lt;=$C38)))</f>
        <v>805.5</v>
      </c>
      <c r="L38" s="73">
        <f>ABS(SUMPRODUCT(dados_comercio!L:L,-(dados_comercio!$B:$B=$B38),-(dados_comercio!$C:$C&lt;=$C38)))</f>
        <v>695.59999999999991</v>
      </c>
      <c r="M38" s="73">
        <f>ABS(SUMPRODUCT(dados_comercio!M:M,-(dados_comercio!$B:$B=$B38),-(dados_comercio!$C:$C&lt;=$C38)))</f>
        <v>826.10000000000014</v>
      </c>
      <c r="N38" s="73">
        <f>ABS(SUMPRODUCT(dados_comercio!N:N,-(dados_comercio!$B:$B=$B38),-(dados_comercio!$C:$C&lt;=$C38)))</f>
        <v>1207.8999999999999</v>
      </c>
      <c r="O38" s="73">
        <f>ABS(SUMPRODUCT(dados_comercio!O:O,-(dados_comercio!$B:$B=$B38),-(dados_comercio!$C:$C&lt;=$C38)))</f>
        <v>589.89999999999986</v>
      </c>
      <c r="P38" s="73">
        <f>ABS(SUMPRODUCT(dados_comercio!P:P,-(dados_comercio!$B:$B=$B38),-(dados_comercio!$C:$C&lt;=$C38)))</f>
        <v>1103.3999999999999</v>
      </c>
      <c r="Q38" s="73">
        <f>ABS(SUMPRODUCT(dados_comercio!Q:Q,-(dados_comercio!$B:$B=$B38),-(dados_comercio!$C:$C&lt;=$C38)))</f>
        <v>1027.7</v>
      </c>
      <c r="R38" s="73">
        <f>ABS(SUMPRODUCT(dados_comercio!R:R,-(dados_comercio!$B:$B=$B38),-(dados_comercio!$C:$C&lt;=$C38)))</f>
        <v>924.19999999999993</v>
      </c>
      <c r="S38" s="73">
        <f>ABS(SUMPRODUCT(dados_comercio!S:S,-(dados_comercio!$B:$B=$B38),-(dados_comercio!$C:$C&lt;=$C38)))</f>
        <v>842</v>
      </c>
    </row>
    <row r="39" spans="1:19" x14ac:dyDescent="0.2">
      <c r="A39" s="6" t="str">
        <f>dados_comercio!A39</f>
        <v>201912</v>
      </c>
      <c r="B39" s="6">
        <f>dados_comercio!B39</f>
        <v>2019</v>
      </c>
      <c r="C39" s="6">
        <f>dados_comercio!C39</f>
        <v>12</v>
      </c>
      <c r="D39" s="27">
        <f>dados_comercio!D39</f>
        <v>43800</v>
      </c>
      <c r="E39" s="73">
        <f>ABS(SUMPRODUCT(dados_comercio!E:E,-(dados_comercio!$B:$B=$B39),-(dados_comercio!$C:$C&lt;=$C39)))</f>
        <v>1060.3999999999999</v>
      </c>
      <c r="F39" s="73">
        <f>ABS(SUMPRODUCT(dados_comercio!F:F,-(dados_comercio!$B:$B=$B39),-(dados_comercio!$C:$C&lt;=$C39)))</f>
        <v>1061.0999999999999</v>
      </c>
      <c r="G39" s="73">
        <f>ABS(SUMPRODUCT(dados_comercio!G:G,-(dados_comercio!$B:$B=$B39),-(dados_comercio!$C:$C&lt;=$C39)))</f>
        <v>732.8</v>
      </c>
      <c r="H39" s="73">
        <f>ABS(SUMPRODUCT(dados_comercio!H:H,-(dados_comercio!$B:$B=$B39),-(dados_comercio!$C:$C&lt;=$C39)))</f>
        <v>1093.7</v>
      </c>
      <c r="I39" s="73">
        <f>ABS(SUMPRODUCT(dados_comercio!I:I,-(dados_comercio!$B:$B=$B39),-(dados_comercio!$C:$C&lt;=$C39)))</f>
        <v>1085.5999999999999</v>
      </c>
      <c r="J39" s="73">
        <f>ABS(SUMPRODUCT(dados_comercio!J:J,-(dados_comercio!$B:$B=$B39),-(dados_comercio!$C:$C&lt;=$C39)))</f>
        <v>930.60000000000014</v>
      </c>
      <c r="K39" s="73">
        <f>ABS(SUMPRODUCT(dados_comercio!K:K,-(dados_comercio!$B:$B=$B39),-(dados_comercio!$C:$C&lt;=$C39)))</f>
        <v>924.2</v>
      </c>
      <c r="L39" s="73">
        <f>ABS(SUMPRODUCT(dados_comercio!L:L,-(dados_comercio!$B:$B=$B39),-(dados_comercio!$C:$C&lt;=$C39)))</f>
        <v>795.3</v>
      </c>
      <c r="M39" s="73">
        <f>ABS(SUMPRODUCT(dados_comercio!M:M,-(dados_comercio!$B:$B=$B39),-(dados_comercio!$C:$C&lt;=$C39)))</f>
        <v>948.90000000000009</v>
      </c>
      <c r="N39" s="73">
        <f>ABS(SUMPRODUCT(dados_comercio!N:N,-(dados_comercio!$B:$B=$B39),-(dados_comercio!$C:$C&lt;=$C39)))</f>
        <v>1325.8999999999999</v>
      </c>
      <c r="O39" s="73">
        <f>ABS(SUMPRODUCT(dados_comercio!O:O,-(dados_comercio!$B:$B=$B39),-(dados_comercio!$C:$C&lt;=$C39)))</f>
        <v>667.99999999999989</v>
      </c>
      <c r="P39" s="73">
        <f>ABS(SUMPRODUCT(dados_comercio!P:P,-(dados_comercio!$B:$B=$B39),-(dados_comercio!$C:$C&lt;=$C39)))</f>
        <v>1245.0999999999999</v>
      </c>
      <c r="Q39" s="73">
        <f>ABS(SUMPRODUCT(dados_comercio!Q:Q,-(dados_comercio!$B:$B=$B39),-(dados_comercio!$C:$C&lt;=$C39)))</f>
        <v>1204.4000000000001</v>
      </c>
      <c r="R39" s="73">
        <f>ABS(SUMPRODUCT(dados_comercio!R:R,-(dados_comercio!$B:$B=$B39),-(dados_comercio!$C:$C&lt;=$C39)))</f>
        <v>1003.3</v>
      </c>
      <c r="S39" s="73">
        <f>ABS(SUMPRODUCT(dados_comercio!S:S,-(dados_comercio!$B:$B=$B39),-(dados_comercio!$C:$C&lt;=$C39)))</f>
        <v>915.9</v>
      </c>
    </row>
    <row r="40" spans="1:19" x14ac:dyDescent="0.2">
      <c r="A40" s="6">
        <f>dados_comercio!A40</f>
        <v>0</v>
      </c>
      <c r="B40" s="6">
        <f>dados_comercio!B40</f>
        <v>0</v>
      </c>
      <c r="C40" s="6">
        <f>dados_comercio!C40</f>
        <v>0</v>
      </c>
      <c r="D40" s="27">
        <f>dados_comercio!D40</f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x14ac:dyDescent="0.2">
      <c r="A41" s="6">
        <f>dados_comercio!A41</f>
        <v>0</v>
      </c>
      <c r="B41" s="6">
        <f>dados_comercio!B41</f>
        <v>0</v>
      </c>
      <c r="C41" s="6">
        <f>dados_comercio!C41</f>
        <v>0</v>
      </c>
      <c r="D41" s="27">
        <f>dados_comercio!D41</f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x14ac:dyDescent="0.2">
      <c r="A42" s="6">
        <f>dados_comercio!A42</f>
        <v>0</v>
      </c>
      <c r="B42" s="6">
        <f>dados_comercio!B42</f>
        <v>0</v>
      </c>
      <c r="C42" s="6">
        <f>dados_comercio!C42</f>
        <v>0</v>
      </c>
      <c r="D42" s="27">
        <f>dados_comercio!D42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x14ac:dyDescent="0.2">
      <c r="A43" s="6">
        <f>dados_comercio!A43</f>
        <v>0</v>
      </c>
      <c r="B43" s="6">
        <f>dados_comercio!B43</f>
        <v>0</v>
      </c>
      <c r="C43" s="6">
        <f>dados_comercio!C43</f>
        <v>0</v>
      </c>
      <c r="D43" s="27">
        <f>dados_comercio!D43</f>
        <v>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x14ac:dyDescent="0.2">
      <c r="A44" s="6">
        <f>dados_comercio!A44</f>
        <v>0</v>
      </c>
      <c r="B44" s="6">
        <f>dados_comercio!B44</f>
        <v>0</v>
      </c>
      <c r="C44" s="6">
        <f>dados_comercio!C44</f>
        <v>0</v>
      </c>
      <c r="D44" s="27">
        <f>dados_comercio!D44</f>
        <v>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x14ac:dyDescent="0.2">
      <c r="A45" s="6">
        <f>dados_comercio!A45</f>
        <v>0</v>
      </c>
      <c r="B45" s="6">
        <f>dados_comercio!B45</f>
        <v>0</v>
      </c>
      <c r="C45" s="6">
        <f>dados_comercio!C45</f>
        <v>0</v>
      </c>
      <c r="D45" s="27">
        <f>dados_comercio!D45</f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x14ac:dyDescent="0.2">
      <c r="A46" s="6">
        <f>dados_comercio!A46</f>
        <v>0</v>
      </c>
      <c r="B46" s="6">
        <f>dados_comercio!B46</f>
        <v>0</v>
      </c>
      <c r="C46" s="6">
        <f>dados_comercio!C46</f>
        <v>0</v>
      </c>
      <c r="D46" s="27">
        <f>dados_comercio!D46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x14ac:dyDescent="0.2">
      <c r="A47" s="6">
        <f>dados_comercio!A47</f>
        <v>0</v>
      </c>
      <c r="B47" s="6">
        <f>dados_comercio!B47</f>
        <v>0</v>
      </c>
      <c r="C47" s="6">
        <f>dados_comercio!C47</f>
        <v>0</v>
      </c>
      <c r="D47" s="27">
        <f>dados_comercio!D47</f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</sheetData>
  <mergeCells count="1">
    <mergeCell ref="E2:S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A2" sqref="A2"/>
    </sheetView>
  </sheetViews>
  <sheetFormatPr defaultRowHeight="15" x14ac:dyDescent="0.25"/>
  <cols>
    <col min="1" max="1" width="40.5703125" customWidth="1"/>
    <col min="2" max="2" width="16.42578125" customWidth="1"/>
    <col min="3" max="3" width="15.140625" customWidth="1"/>
    <col min="4" max="4" width="18.85546875" customWidth="1"/>
    <col min="5" max="5" width="19.28515625" customWidth="1"/>
    <col min="6" max="6" width="19.42578125" customWidth="1"/>
    <col min="7" max="7" width="16.85546875" customWidth="1"/>
    <col min="8" max="8" width="16.42578125" customWidth="1"/>
    <col min="9" max="9" width="19.85546875" customWidth="1"/>
    <col min="10" max="10" width="1" customWidth="1"/>
    <col min="11" max="11" width="2" customWidth="1"/>
    <col min="12" max="12" width="7.140625" customWidth="1"/>
    <col min="14" max="14" width="15.42578125" customWidth="1"/>
  </cols>
  <sheetData>
    <row r="1" spans="1:14" ht="24" thickBot="1" x14ac:dyDescent="0.4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5"/>
      <c r="K1" s="5"/>
    </row>
    <row r="2" spans="1:14" ht="16.5" thickBot="1" x14ac:dyDescent="0.3">
      <c r="J2" s="5"/>
      <c r="K2" s="5"/>
      <c r="L2" s="96" t="s">
        <v>10</v>
      </c>
      <c r="M2" s="97"/>
      <c r="N2" s="98"/>
    </row>
    <row r="3" spans="1:14" ht="16.5" thickBot="1" x14ac:dyDescent="0.3">
      <c r="A3" s="99"/>
      <c r="B3" s="100"/>
      <c r="C3" s="100"/>
      <c r="D3" s="100"/>
      <c r="E3" s="100"/>
      <c r="F3" s="100"/>
      <c r="G3" s="100"/>
      <c r="H3" s="100"/>
      <c r="I3" s="101"/>
      <c r="J3" s="5"/>
      <c r="K3" s="5"/>
      <c r="L3" s="102">
        <v>43800</v>
      </c>
      <c r="M3" s="103"/>
      <c r="N3" s="104"/>
    </row>
    <row r="4" spans="1:14" ht="24.75" customHeight="1" x14ac:dyDescent="0.25">
      <c r="A4" s="105" t="s">
        <v>41</v>
      </c>
      <c r="B4" s="107" t="s">
        <v>40</v>
      </c>
      <c r="C4" s="108"/>
      <c r="D4" s="108"/>
      <c r="E4" s="108"/>
      <c r="F4" s="109"/>
      <c r="G4" s="107" t="s">
        <v>3</v>
      </c>
      <c r="H4" s="108"/>
      <c r="I4" s="109"/>
      <c r="J4" s="5"/>
      <c r="K4" s="5"/>
      <c r="L4" s="5"/>
      <c r="M4" s="5"/>
      <c r="N4" s="5"/>
    </row>
    <row r="5" spans="1:14" ht="45" x14ac:dyDescent="0.25">
      <c r="A5" s="106"/>
      <c r="B5" s="36" t="s">
        <v>5</v>
      </c>
      <c r="C5" s="36" t="s">
        <v>6</v>
      </c>
      <c r="D5" s="36" t="s">
        <v>7</v>
      </c>
      <c r="E5" s="36" t="s">
        <v>8</v>
      </c>
      <c r="F5" s="36" t="s">
        <v>9</v>
      </c>
      <c r="G5" s="110" t="str">
        <f>CONCATENATE("Variação do mês de ",(TEXT(B6,"MMMM"))&amp;" de "&amp;YEAR(B6)&amp;" /  "&amp;"mês anterior: "&amp;(TEXT(B6-1,"MMMM")))</f>
        <v>Variação do mês de dezembro de 2019 /  mês anterior: novembro</v>
      </c>
      <c r="H5" s="110" t="str">
        <f>CONCATENATE("Variação do mês de "&amp;(TEXT(B6,"MMMM")&amp;" de "&amp;YEAR(B6))&amp;" / ",(TEXT(B6,"MMMM")&amp;" do ano anterior"))</f>
        <v>Variação do mês de dezembro de 2019 / dezembro do ano anterior</v>
      </c>
      <c r="I5" s="110" t="str">
        <f>CONCATENATE("Variação de "&amp;YEAR(L3)&amp;" acumulado até "&amp;(TEXT(L3,"MMMM"))&amp;" / ano anterior "&amp;"acumulado até "&amp;(TEXT(L3,"MMMM")))</f>
        <v>Variação de 2019 acumulado até dezembro / ano anterior acumulado até dezembro</v>
      </c>
      <c r="J5" s="5"/>
      <c r="K5" s="5"/>
      <c r="L5" s="5"/>
      <c r="M5" s="5"/>
      <c r="N5" s="5"/>
    </row>
    <row r="6" spans="1:14" ht="60.75" customHeight="1" thickBot="1" x14ac:dyDescent="0.3">
      <c r="A6" s="106"/>
      <c r="B6" s="37">
        <f>L3</f>
        <v>43800</v>
      </c>
      <c r="C6" s="37">
        <f>EDATE(L3,-1)</f>
        <v>43770</v>
      </c>
      <c r="D6" s="37">
        <f>EDATE(L3,-12)</f>
        <v>43435</v>
      </c>
      <c r="E6" s="38" t="str">
        <f>CONCATENATE("Ano de "&amp;YEAR(B6)&amp;" acumulado até "&amp;(TEXT(B6,"MMMM")))</f>
        <v>Ano de 2019 acumulado até dezembro</v>
      </c>
      <c r="F6" s="38" t="str">
        <f>CONCATENATE("Ano de "&amp;(YEAR(D6)&amp;" acumulado até "&amp;(TEXT(D6,"MMMM"))))</f>
        <v>Ano de 2018 acumulado até dezembro</v>
      </c>
      <c r="G6" s="111"/>
      <c r="H6" s="111"/>
      <c r="I6" s="111"/>
      <c r="J6" s="5"/>
      <c r="K6" s="5"/>
      <c r="L6" s="5"/>
      <c r="M6" s="5"/>
      <c r="N6" s="5"/>
    </row>
    <row r="7" spans="1:14" ht="15.75" x14ac:dyDescent="0.25">
      <c r="A7" s="80" t="s">
        <v>22</v>
      </c>
      <c r="B7" s="81">
        <f>VLOOKUP(YEAR($L$3)&amp;MONTH($L$3),dados_comercio!$A$4:$S$14162,5,FALSE)</f>
        <v>91.3</v>
      </c>
      <c r="C7" s="81">
        <f>IFERROR(VLOOKUP(YEAR($C$6)&amp;MONTH($C$6),dados_comercio!$A$4:$S$14162,5,FALSE),"-")</f>
        <v>89.3</v>
      </c>
      <c r="D7" s="81">
        <f>IFERROR(VLOOKUP(YEAR($D$6)&amp;MONTH($D$6),dados_comercio!$A$4:$S$14162,5,FALSE),"-")</f>
        <v>87.4</v>
      </c>
      <c r="E7" s="81">
        <f>VLOOKUP(YEAR($L$3)&amp;MONTH($L$3),comercio_acumulados!$A$4:$Z$15000,5,FALSE)</f>
        <v>1060.3999999999999</v>
      </c>
      <c r="F7" s="81">
        <f>IFERROR(VLOOKUP(YEAR($D$6)&amp;MONTH($D$6),comercio_acumulados!$A$2:$Z$15000,5,FALSE),"-")</f>
        <v>1057.4000000000001</v>
      </c>
      <c r="G7" s="82">
        <f t="shared" ref="G7:G8" si="0">IFERROR((B7-C7)/C7 * 100,"-")</f>
        <v>2.2396416573348263</v>
      </c>
      <c r="H7" s="82">
        <f t="shared" ref="H7:H8" si="1">IFERROR((B7-D7)/D7*100,"-")</f>
        <v>4.4622425629290516</v>
      </c>
      <c r="I7" s="83">
        <f t="shared" ref="I7:I8" si="2">IFERROR((E7-F7)/F7 *100,"-")</f>
        <v>0.28371477208244489</v>
      </c>
      <c r="J7" s="5"/>
      <c r="K7" s="5"/>
      <c r="L7" s="5"/>
      <c r="M7" s="5"/>
      <c r="N7" s="5"/>
    </row>
    <row r="8" spans="1:14" ht="15.75" x14ac:dyDescent="0.25">
      <c r="A8" s="10" t="s">
        <v>23</v>
      </c>
      <c r="B8" s="43">
        <f>VLOOKUP(YEAR($L$3)&amp;MONTH($L$3),dados_comercio!$A$4:$S$14162,6,FALSE)</f>
        <v>120.6</v>
      </c>
      <c r="C8" s="43">
        <f>IFERROR(VLOOKUP(YEAR($C$6)&amp;MONTH($C$6),dados_comercio!$A$4:$S$14162,6,FALSE),"-")</f>
        <v>94.8</v>
      </c>
      <c r="D8" s="43">
        <f>IFERROR(VLOOKUP(YEAR($D$6)&amp;MONTH($D$6),dados_comercio!$A$4:$S$14162,6,FALSE),"-")</f>
        <v>115.9</v>
      </c>
      <c r="E8" s="43">
        <f>VLOOKUP(YEAR($L$3)&amp;MONTH($L$3),comercio_acumulados!$A$4:$Z$15000,6,FALSE)</f>
        <v>1061.0999999999999</v>
      </c>
      <c r="F8" s="43">
        <f>IFERROR(VLOOKUP(YEAR($D$6)&amp;MONTH($D$6),comercio_acumulados!$A$2:$Z$15000,6,FALSE),"-")</f>
        <v>1056.5000000000002</v>
      </c>
      <c r="G8" s="44">
        <f t="shared" si="0"/>
        <v>27.215189873417717</v>
      </c>
      <c r="H8" s="44">
        <f t="shared" si="1"/>
        <v>4.0552200172562456</v>
      </c>
      <c r="I8" s="45">
        <f t="shared" si="2"/>
        <v>0.43539990534781647</v>
      </c>
      <c r="J8" s="5"/>
      <c r="K8" s="5"/>
      <c r="L8" s="5"/>
      <c r="M8" s="5"/>
      <c r="N8" s="5"/>
    </row>
    <row r="9" spans="1:14" ht="15.75" x14ac:dyDescent="0.25">
      <c r="A9" s="84" t="s">
        <v>24</v>
      </c>
      <c r="B9" s="85">
        <f>VLOOKUP(YEAR($L$3)&amp;MONTH($L$3),dados_comercio!$A$4:$S$14162,7,FALSE)</f>
        <v>66.8</v>
      </c>
      <c r="C9" s="85">
        <f>IFERROR(VLOOKUP(YEAR($C$6)&amp;MONTH($C$6),dados_comercio!$A$4:$S$14162,7,FALSE),"-")</f>
        <v>61.5</v>
      </c>
      <c r="D9" s="85">
        <f>IFERROR(VLOOKUP(YEAR($D$6)&amp;MONTH($D$6),dados_comercio!$A$4:$S$14162,7,FALSE),"-")</f>
        <v>67.7</v>
      </c>
      <c r="E9" s="85">
        <f>VLOOKUP(YEAR($L$3)&amp;MONTH($L$3),comercio_acumulados!$A$4:$Z$15000,7,FALSE)</f>
        <v>732.8</v>
      </c>
      <c r="F9" s="85">
        <f>IFERROR(VLOOKUP(YEAR($D$6)&amp;MONTH($D$6),comercio_acumulados!$A$2:$Z$15000,7,FALSE),"-")</f>
        <v>705.80000000000007</v>
      </c>
      <c r="G9" s="86">
        <f>IFERROR((B9-C9)/ABS(C9) * 100,"-")</f>
        <v>8.6178861788617827</v>
      </c>
      <c r="H9" s="86">
        <f>IFERROR((B9-D9)/ABS(D9)*100,"-")</f>
        <v>-1.3293943870014855</v>
      </c>
      <c r="I9" s="87">
        <f>IFERROR((E9-F9)/ABS(F9) *100,"-")</f>
        <v>3.8254463020685581</v>
      </c>
      <c r="J9" s="5"/>
      <c r="K9" s="5"/>
      <c r="L9" s="5"/>
      <c r="M9" s="5"/>
      <c r="N9" s="5"/>
    </row>
    <row r="10" spans="1:14" ht="30" x14ac:dyDescent="0.25">
      <c r="A10" s="10" t="s">
        <v>25</v>
      </c>
      <c r="B10" s="43">
        <f>VLOOKUP(YEAR($L$3)&amp;MONTH($L$3),dados_comercio!$A$4:$S$14162,8,FALSE)</f>
        <v>111.6</v>
      </c>
      <c r="C10" s="43">
        <f>IFERROR(VLOOKUP(YEAR($C$6)&amp;MONTH($C$6),dados_comercio!$A$4:$S$14162,8,FALSE),"-")</f>
        <v>94.2</v>
      </c>
      <c r="D10" s="43">
        <f>IFERROR(VLOOKUP(YEAR($D$6)&amp;MONTH($D$6),dados_comercio!$A$4:$S$14162,8,FALSE),"-")</f>
        <v>113.8</v>
      </c>
      <c r="E10" s="43">
        <f>VLOOKUP(YEAR($L$3)&amp;MONTH($L$3),comercio_acumulados!$A$4:$Z$15000,8,FALSE)</f>
        <v>1093.7</v>
      </c>
      <c r="F10" s="43">
        <f>IFERROR(VLOOKUP(YEAR($D$6)&amp;MONTH($D$6),comercio_acumulados!$A$2:$Z$15000,8,FALSE),"-")</f>
        <v>1097</v>
      </c>
      <c r="G10" s="44">
        <f t="shared" ref="G10:G21" si="3">IFERROR((B10-C10)/ABS(C10) * 100,"-")</f>
        <v>18.471337579617824</v>
      </c>
      <c r="H10" s="44">
        <f t="shared" ref="H10:H21" si="4">IFERROR((B10-D10)/ABS(D10)*100,"-")</f>
        <v>-1.9332161687170502</v>
      </c>
      <c r="I10" s="45">
        <f t="shared" ref="I10:I21" si="5">IFERROR((E10-F10)/ABS(F10) *100,"-")</f>
        <v>-0.30082041932542886</v>
      </c>
      <c r="J10" s="5"/>
      <c r="K10" s="5"/>
      <c r="L10" s="5"/>
      <c r="M10" s="5"/>
      <c r="N10" s="5"/>
    </row>
    <row r="11" spans="1:14" ht="15.75" x14ac:dyDescent="0.25">
      <c r="A11" s="84" t="s">
        <v>26</v>
      </c>
      <c r="B11" s="85">
        <f>VLOOKUP(YEAR($L$3)&amp;MONTH($L$3),dados_comercio!$A$4:$S$14162,9,FALSE)</f>
        <v>110</v>
      </c>
      <c r="C11" s="85">
        <f>IFERROR(VLOOKUP(YEAR($C$6)&amp;MONTH($C$6),dados_comercio!$A$4:$S$14162,9,FALSE),"-")</f>
        <v>93.1</v>
      </c>
      <c r="D11" s="85">
        <f>IFERROR(VLOOKUP(YEAR($D$6)&amp;MONTH($D$6),dados_comercio!$A$4:$S$14162,9,FALSE),"-")</f>
        <v>114.5</v>
      </c>
      <c r="E11" s="85">
        <f>VLOOKUP(YEAR($L$3)&amp;MONTH($L$3),comercio_acumulados!$A$4:$Z$15000,9,FALSE)</f>
        <v>1085.5999999999999</v>
      </c>
      <c r="F11" s="85">
        <f>IFERROR(VLOOKUP(YEAR($D$6)&amp;MONTH($D$6),comercio_acumulados!$A$2:$Z$15000,9,FALSE),"-")</f>
        <v>1084.8000000000002</v>
      </c>
      <c r="G11" s="86">
        <f t="shared" si="3"/>
        <v>18.152524167561769</v>
      </c>
      <c r="H11" s="86">
        <f t="shared" si="4"/>
        <v>-3.9301310043668125</v>
      </c>
      <c r="I11" s="87">
        <f t="shared" si="5"/>
        <v>7.374631268434062E-2</v>
      </c>
      <c r="J11" s="5"/>
      <c r="K11" s="5"/>
      <c r="L11" s="5"/>
      <c r="M11" s="5"/>
      <c r="N11" s="5"/>
    </row>
    <row r="12" spans="1:14" ht="15.75" x14ac:dyDescent="0.25">
      <c r="A12" s="10" t="s">
        <v>27</v>
      </c>
      <c r="B12" s="43">
        <f>VLOOKUP(YEAR($L$3)&amp;MONTH($L$3),dados_comercio!$A$4:$S$14162,10,FALSE)</f>
        <v>137.80000000000001</v>
      </c>
      <c r="C12" s="43">
        <f>IFERROR(VLOOKUP(YEAR($C$6)&amp;MONTH($C$6),dados_comercio!$A$4:$S$14162,10,FALSE),"-")</f>
        <v>85.2</v>
      </c>
      <c r="D12" s="43">
        <f>IFERROR(VLOOKUP(YEAR($D$6)&amp;MONTH($D$6),dados_comercio!$A$4:$S$14162,10,FALSE),"-")</f>
        <v>142.30000000000001</v>
      </c>
      <c r="E12" s="43">
        <f>VLOOKUP(YEAR($L$3)&amp;MONTH($L$3),comercio_acumulados!$A$4:$Z$15000,10,FALSE)</f>
        <v>930.60000000000014</v>
      </c>
      <c r="F12" s="43">
        <f>IFERROR(VLOOKUP(YEAR($D$6)&amp;MONTH($D$6),comercio_acumulados!$A$2:$Z$15000,10,FALSE),"-")</f>
        <v>953</v>
      </c>
      <c r="G12" s="44">
        <f t="shared" si="3"/>
        <v>61.737089201877936</v>
      </c>
      <c r="H12" s="44">
        <f t="shared" si="4"/>
        <v>-3.1623330990864367</v>
      </c>
      <c r="I12" s="45">
        <f t="shared" si="5"/>
        <v>-2.3504721930744874</v>
      </c>
      <c r="J12" s="5"/>
      <c r="K12" s="5"/>
      <c r="L12" s="5"/>
      <c r="M12" s="5"/>
      <c r="N12" s="5"/>
    </row>
    <row r="13" spans="1:14" ht="15.75" x14ac:dyDescent="0.25">
      <c r="A13" s="84" t="s">
        <v>28</v>
      </c>
      <c r="B13" s="85">
        <f>VLOOKUP(YEAR($L$3)&amp;MONTH($L$3),dados_comercio!$A$4:$S$14162,11,FALSE)</f>
        <v>118.7</v>
      </c>
      <c r="C13" s="85">
        <f>IFERROR(VLOOKUP(YEAR($C$6)&amp;MONTH($C$6),dados_comercio!$A$4:$S$14162,11,FALSE),"-")</f>
        <v>92.1</v>
      </c>
      <c r="D13" s="85">
        <f>IFERROR(VLOOKUP(YEAR($D$6)&amp;MONTH($D$6),dados_comercio!$A$4:$S$14162,11,FALSE),"-")</f>
        <v>101.8</v>
      </c>
      <c r="E13" s="85">
        <f>VLOOKUP(YEAR($L$3)&amp;MONTH($L$3),comercio_acumulados!$A$4:$Z$15000,11,FALSE)</f>
        <v>924.2</v>
      </c>
      <c r="F13" s="85">
        <f>IFERROR(VLOOKUP(YEAR($D$6)&amp;MONTH($D$6),comercio_acumulados!$A$2:$Z$15000,11,FALSE),"-")</f>
        <v>907.8</v>
      </c>
      <c r="G13" s="86">
        <f t="shared" si="3"/>
        <v>28.881650380021728</v>
      </c>
      <c r="H13" s="86">
        <f t="shared" si="4"/>
        <v>16.601178781925348</v>
      </c>
      <c r="I13" s="87">
        <f t="shared" si="5"/>
        <v>1.8065653227583269</v>
      </c>
      <c r="J13" s="5"/>
      <c r="K13" s="5"/>
      <c r="L13" s="5"/>
      <c r="M13" s="5"/>
      <c r="N13" s="5"/>
    </row>
    <row r="14" spans="1:14" ht="15.75" x14ac:dyDescent="0.25">
      <c r="A14" s="10" t="s">
        <v>29</v>
      </c>
      <c r="B14" s="43">
        <f>VLOOKUP(YEAR($L$3)&amp;MONTH($L$3),dados_comercio!$A$4:$S$14162,12,FALSE)</f>
        <v>99.7</v>
      </c>
      <c r="C14" s="43">
        <f>IFERROR(VLOOKUP(YEAR($C$6)&amp;MONTH($C$6),dados_comercio!$A$4:$S$14162,12,FALSE),"-")</f>
        <v>69.400000000000006</v>
      </c>
      <c r="D14" s="43">
        <f>IFERROR(VLOOKUP(YEAR($D$6)&amp;MONTH($D$6),dados_comercio!$A$4:$S$14162,12,FALSE),"-")</f>
        <v>91.3</v>
      </c>
      <c r="E14" s="43">
        <f>VLOOKUP(YEAR($L$3)&amp;MONTH($L$3),comercio_acumulados!$A$4:$Z$15000,12,FALSE)</f>
        <v>795.3</v>
      </c>
      <c r="F14" s="43">
        <f>IFERROR(VLOOKUP(YEAR($D$6)&amp;MONTH($D$6),comercio_acumulados!$A$2:$Z$15000,12,FALSE),"-")</f>
        <v>808.19999999999993</v>
      </c>
      <c r="G14" s="44">
        <f t="shared" si="3"/>
        <v>43.659942363112386</v>
      </c>
      <c r="H14" s="44">
        <f t="shared" si="4"/>
        <v>9.2004381161007736</v>
      </c>
      <c r="I14" s="45">
        <f t="shared" si="5"/>
        <v>-1.596139569413509</v>
      </c>
      <c r="J14" s="5"/>
      <c r="K14" s="5"/>
      <c r="L14" s="5"/>
      <c r="M14" s="5"/>
      <c r="N14" s="5"/>
    </row>
    <row r="15" spans="1:14" ht="15.75" x14ac:dyDescent="0.25">
      <c r="A15" s="84" t="s">
        <v>30</v>
      </c>
      <c r="B15" s="85">
        <f>VLOOKUP(YEAR($L$3)&amp;MONTH($L$3),dados_comercio!$A$4:$S$14162,13,FALSE)</f>
        <v>122.8</v>
      </c>
      <c r="C15" s="85">
        <f>IFERROR(VLOOKUP(YEAR($C$6)&amp;MONTH($C$6),dados_comercio!$A$4:$S$14162,13,FALSE),"-")</f>
        <v>97.7</v>
      </c>
      <c r="D15" s="85">
        <f>IFERROR(VLOOKUP(YEAR($D$6)&amp;MONTH($D$6),dados_comercio!$A$4:$S$14162,13,FALSE),"-")</f>
        <v>103.1</v>
      </c>
      <c r="E15" s="85">
        <f>VLOOKUP(YEAR($L$3)&amp;MONTH($L$3),comercio_acumulados!$A$4:$Z$15000,13,FALSE)</f>
        <v>948.90000000000009</v>
      </c>
      <c r="F15" s="85">
        <f>IFERROR(VLOOKUP(YEAR($D$6)&amp;MONTH($D$6),comercio_acumulados!$A$2:$Z$15000,13,FALSE),"-")</f>
        <v>920.2</v>
      </c>
      <c r="G15" s="86">
        <f t="shared" si="3"/>
        <v>25.690890481064478</v>
      </c>
      <c r="H15" s="86">
        <f t="shared" si="4"/>
        <v>19.107662463627552</v>
      </c>
      <c r="I15" s="87">
        <f t="shared" si="5"/>
        <v>3.1188871984351278</v>
      </c>
      <c r="J15" s="5"/>
      <c r="K15" s="5"/>
      <c r="L15" s="5"/>
      <c r="M15" s="5"/>
      <c r="N15" s="5"/>
    </row>
    <row r="16" spans="1:14" ht="30" x14ac:dyDescent="0.25">
      <c r="A16" s="10" t="s">
        <v>31</v>
      </c>
      <c r="B16" s="43">
        <f>VLOOKUP(YEAR($L$3)&amp;MONTH($L$3),dados_comercio!$A$4:$S$14162,14,FALSE)</f>
        <v>118</v>
      </c>
      <c r="C16" s="43">
        <f>IFERROR(VLOOKUP(YEAR($C$6)&amp;MONTH($C$6),dados_comercio!$A$4:$S$14162,14,FALSE),"-")</f>
        <v>112.3</v>
      </c>
      <c r="D16" s="43">
        <f>IFERROR(VLOOKUP(YEAR($D$6)&amp;MONTH($D$6),dados_comercio!$A$4:$S$14162,14,FALSE),"-")</f>
        <v>119.1</v>
      </c>
      <c r="E16" s="43">
        <f>VLOOKUP(YEAR($L$3)&amp;MONTH($L$3),comercio_acumulados!$A$4:$Z$15000,14,FALSE)</f>
        <v>1325.8999999999999</v>
      </c>
      <c r="F16" s="43">
        <f>IFERROR(VLOOKUP(YEAR($D$6)&amp;MONTH($D$6),comercio_acumulados!$A$2:$Z$15000,14,FALSE),"-")</f>
        <v>1303.5999999999999</v>
      </c>
      <c r="G16" s="44">
        <f t="shared" si="3"/>
        <v>5.0756901157613559</v>
      </c>
      <c r="H16" s="44">
        <f t="shared" si="4"/>
        <v>-0.92359361880771984</v>
      </c>
      <c r="I16" s="45">
        <f t="shared" si="5"/>
        <v>1.7106474378643721</v>
      </c>
      <c r="J16" s="5"/>
      <c r="K16" s="5"/>
      <c r="L16" s="5"/>
      <c r="M16" s="5"/>
      <c r="N16" s="5"/>
    </row>
    <row r="17" spans="1:21" ht="15.75" x14ac:dyDescent="0.25">
      <c r="A17" s="84" t="s">
        <v>32</v>
      </c>
      <c r="B17" s="85">
        <f>VLOOKUP(YEAR($L$3)&amp;MONTH($L$3),dados_comercio!$A$4:$S$14162,15,FALSE)</f>
        <v>78.099999999999994</v>
      </c>
      <c r="C17" s="85">
        <f>IFERROR(VLOOKUP(YEAR($C$6)&amp;MONTH($C$6),dados_comercio!$A$4:$S$14162,15,FALSE),"-")</f>
        <v>43.9</v>
      </c>
      <c r="D17" s="85">
        <f>IFERROR(VLOOKUP(YEAR($D$6)&amp;MONTH($D$6),dados_comercio!$A$4:$S$14162,15,FALSE),"-")</f>
        <v>84.3</v>
      </c>
      <c r="E17" s="85">
        <f>VLOOKUP(YEAR($L$3)&amp;MONTH($L$3),comercio_acumulados!$A$4:$Z$15000,15,FALSE)</f>
        <v>667.99999999999989</v>
      </c>
      <c r="F17" s="85">
        <f>IFERROR(VLOOKUP(YEAR($D$6)&amp;MONTH($D$6),comercio_acumulados!$A$2:$Z$15000,15,FALSE),"-")</f>
        <v>792.19999999999993</v>
      </c>
      <c r="G17" s="86">
        <f t="shared" si="3"/>
        <v>77.904328018223225</v>
      </c>
      <c r="H17" s="86">
        <f t="shared" si="4"/>
        <v>-7.354685646500597</v>
      </c>
      <c r="I17" s="87">
        <f t="shared" si="5"/>
        <v>-15.677859126483218</v>
      </c>
      <c r="J17" s="5"/>
      <c r="K17" s="5"/>
      <c r="L17" s="5"/>
      <c r="M17" s="5"/>
      <c r="N17" s="5"/>
    </row>
    <row r="18" spans="1:21" ht="30" x14ac:dyDescent="0.25">
      <c r="A18" s="10" t="s">
        <v>33</v>
      </c>
      <c r="B18" s="43">
        <f>VLOOKUP(YEAR($L$3)&amp;MONTH($L$3),dados_comercio!$A$4:$S$14162,16,FALSE)</f>
        <v>141.69999999999999</v>
      </c>
      <c r="C18" s="43">
        <f>IFERROR(VLOOKUP(YEAR($C$6)&amp;MONTH($C$6),dados_comercio!$A$4:$S$14162,16,FALSE),"-")</f>
        <v>122.6</v>
      </c>
      <c r="D18" s="43">
        <f>IFERROR(VLOOKUP(YEAR($D$6)&amp;MONTH($D$6),dados_comercio!$A$4:$S$14162,16,FALSE),"-")</f>
        <v>135.6</v>
      </c>
      <c r="E18" s="43">
        <f>VLOOKUP(YEAR($L$3)&amp;MONTH($L$3),comercio_acumulados!$A$4:$Z$15000,16,FALSE)</f>
        <v>1245.0999999999999</v>
      </c>
      <c r="F18" s="43">
        <f>IFERROR(VLOOKUP(YEAR($D$6)&amp;MONTH($D$6),comercio_acumulados!$A$2:$Z$15000,16,FALSE),"-")</f>
        <v>1087.5999999999999</v>
      </c>
      <c r="G18" s="44">
        <f t="shared" si="3"/>
        <v>15.579119086460027</v>
      </c>
      <c r="H18" s="44">
        <f t="shared" si="4"/>
        <v>4.4985250737463085</v>
      </c>
      <c r="I18" s="45">
        <f t="shared" si="5"/>
        <v>14.481426995218833</v>
      </c>
      <c r="J18" s="5"/>
      <c r="K18" s="5"/>
      <c r="L18" s="5"/>
      <c r="M18" s="5"/>
      <c r="N18" s="5"/>
    </row>
    <row r="19" spans="1:21" ht="15.75" x14ac:dyDescent="0.25">
      <c r="A19" s="84" t="s">
        <v>34</v>
      </c>
      <c r="B19" s="85">
        <f>VLOOKUP(YEAR($L$3)&amp;MONTH($L$3),dados_comercio!$A$4:$S$14162,17,FALSE)</f>
        <v>176.7</v>
      </c>
      <c r="C19" s="85">
        <f>IFERROR(VLOOKUP(YEAR($C$6)&amp;MONTH($C$6),dados_comercio!$A$4:$S$14162,17,FALSE),"-")</f>
        <v>117.7</v>
      </c>
      <c r="D19" s="85">
        <f>IFERROR(VLOOKUP(YEAR($D$6)&amp;MONTH($D$6),dados_comercio!$A$4:$S$14162,17,FALSE),"-")</f>
        <v>142.80000000000001</v>
      </c>
      <c r="E19" s="85">
        <f>VLOOKUP(YEAR($L$3)&amp;MONTH($L$3),comercio_acumulados!$A$4:$Z$15000,17,FALSE)</f>
        <v>1204.4000000000001</v>
      </c>
      <c r="F19" s="85">
        <f>IFERROR(VLOOKUP(YEAR($D$6)&amp;MONTH($D$6),comercio_acumulados!$A$2:$Z$15000,17,FALSE),"-")</f>
        <v>1187</v>
      </c>
      <c r="G19" s="86">
        <f t="shared" si="3"/>
        <v>50.127442650807119</v>
      </c>
      <c r="H19" s="86">
        <f t="shared" si="4"/>
        <v>23.739495798319311</v>
      </c>
      <c r="I19" s="87">
        <f t="shared" si="5"/>
        <v>1.4658803706824002</v>
      </c>
      <c r="J19" s="5"/>
      <c r="K19" s="5"/>
      <c r="L19" s="5"/>
      <c r="M19" s="5"/>
      <c r="N19" s="5"/>
    </row>
    <row r="20" spans="1:21" ht="15.75" x14ac:dyDescent="0.25">
      <c r="A20" s="10" t="s">
        <v>35</v>
      </c>
      <c r="B20" s="43">
        <f>VLOOKUP(YEAR($L$3)&amp;MONTH($L$3),dados_comercio!$A$4:$S$14162,18,FALSE)</f>
        <v>79.099999999999994</v>
      </c>
      <c r="C20" s="43">
        <f>IFERROR(VLOOKUP(YEAR($C$6)&amp;MONTH($C$6),dados_comercio!$A$4:$S$14162,18,FALSE),"-")</f>
        <v>88.8</v>
      </c>
      <c r="D20" s="43">
        <f>IFERROR(VLOOKUP(YEAR($D$6)&amp;MONTH($D$6),dados_comercio!$A$4:$S$14162,18,FALSE),"-")</f>
        <v>75</v>
      </c>
      <c r="E20" s="43">
        <f>VLOOKUP(YEAR($L$3)&amp;MONTH($L$3),comercio_acumulados!$A$4:$Z$15000,18,FALSE)</f>
        <v>1003.3</v>
      </c>
      <c r="F20" s="43">
        <f>IFERROR(VLOOKUP(YEAR($D$6)&amp;MONTH($D$6),comercio_acumulados!$A$2:$Z$15000,18,FALSE),"-")</f>
        <v>917.69999999999993</v>
      </c>
      <c r="G20" s="44">
        <f t="shared" si="3"/>
        <v>-10.923423423423428</v>
      </c>
      <c r="H20" s="44">
        <f t="shared" si="4"/>
        <v>5.4666666666666597</v>
      </c>
      <c r="I20" s="45">
        <f t="shared" si="5"/>
        <v>9.3276669935708867</v>
      </c>
      <c r="J20" s="5"/>
      <c r="K20" s="5"/>
      <c r="L20" s="5"/>
      <c r="M20" s="5"/>
      <c r="N20" s="5"/>
    </row>
    <row r="21" spans="1:21" ht="16.5" thickBot="1" x14ac:dyDescent="0.3">
      <c r="A21" s="88" t="s">
        <v>36</v>
      </c>
      <c r="B21" s="89">
        <f>VLOOKUP(YEAR($L$3)&amp;MONTH($L$3),dados_comercio!$A$4:$S$14162,19,FALSE)</f>
        <v>73.900000000000006</v>
      </c>
      <c r="C21" s="89">
        <f>IFERROR(VLOOKUP(YEAR($C$6)&amp;MONTH($C$6),dados_comercio!$A$4:$S$14162,19,FALSE),"-")</f>
        <v>82.7</v>
      </c>
      <c r="D21" s="89">
        <f>IFERROR(VLOOKUP(YEAR($D$6)&amp;MONTH($D$6),dados_comercio!$A$4:$S$14162,19,FALSE),"-")</f>
        <v>79.7</v>
      </c>
      <c r="E21" s="89">
        <f>VLOOKUP(YEAR($L$3)&amp;MONTH($L$3),comercio_acumulados!$A$4:$Z$15000,19,FALSE)</f>
        <v>915.9</v>
      </c>
      <c r="F21" s="89">
        <f>IFERROR(VLOOKUP(YEAR($D$6)&amp;MONTH($D$6),comercio_acumulados!$A$2:$Z$15000,19,FALSE),"-")</f>
        <v>966.50000000000011</v>
      </c>
      <c r="G21" s="90">
        <f t="shared" si="3"/>
        <v>-10.640870616686817</v>
      </c>
      <c r="H21" s="90">
        <f t="shared" si="4"/>
        <v>-7.2772898368883272</v>
      </c>
      <c r="I21" s="91">
        <f t="shared" si="5"/>
        <v>-5.2353854112778198</v>
      </c>
      <c r="J21" s="5"/>
      <c r="K21" s="5"/>
      <c r="L21" s="5"/>
      <c r="M21" s="5"/>
      <c r="N21" s="5"/>
    </row>
    <row r="22" spans="1:21" ht="15.75" x14ac:dyDescent="0.25">
      <c r="A22" s="92" t="s">
        <v>43</v>
      </c>
      <c r="B22" s="8"/>
      <c r="C22" s="8"/>
      <c r="D22" s="8"/>
      <c r="E22" s="8"/>
      <c r="F22" s="8"/>
      <c r="G22" s="8"/>
      <c r="H22" s="8"/>
      <c r="I22" s="8"/>
      <c r="J22" s="5"/>
      <c r="K22" s="5"/>
      <c r="L22" s="5"/>
      <c r="M22" s="5"/>
      <c r="N22" s="5"/>
    </row>
    <row r="23" spans="1:21" ht="15.75" x14ac:dyDescent="0.25">
      <c r="A23" s="92" t="s">
        <v>2</v>
      </c>
      <c r="B23" s="8"/>
      <c r="C23" s="40"/>
      <c r="D23" s="40"/>
      <c r="E23" s="40"/>
      <c r="F23" s="40"/>
      <c r="G23" s="8"/>
      <c r="H23" s="8"/>
      <c r="I23" s="8"/>
      <c r="J23" s="5"/>
      <c r="K23" s="5"/>
      <c r="L23" s="5"/>
      <c r="M23" s="5"/>
      <c r="N23" s="5"/>
    </row>
    <row r="24" spans="1:21" ht="15.75" x14ac:dyDescent="0.25">
      <c r="A24" s="39"/>
      <c r="B24" s="8"/>
      <c r="C24" s="41"/>
      <c r="D24" s="41"/>
      <c r="E24" s="41"/>
      <c r="F24" s="41"/>
      <c r="G24" s="8"/>
      <c r="H24" s="8"/>
      <c r="I24" s="8"/>
      <c r="J24" s="5"/>
      <c r="K24" s="5"/>
      <c r="L24" s="5"/>
      <c r="M24" s="5"/>
      <c r="N24" s="5"/>
    </row>
    <row r="25" spans="1:21" x14ac:dyDescent="0.25">
      <c r="A25" s="8"/>
      <c r="B25" s="42"/>
      <c r="C25" s="42"/>
      <c r="D25" s="42"/>
      <c r="E25" s="42"/>
      <c r="F25" s="42"/>
      <c r="G25" s="42"/>
      <c r="H25" s="42"/>
      <c r="I25" s="4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B26" s="28"/>
      <c r="F26" s="8"/>
      <c r="H26" s="8"/>
    </row>
    <row r="27" spans="1:21" x14ac:dyDescent="0.25">
      <c r="B27" s="28"/>
      <c r="F27" s="8"/>
      <c r="H27" s="8"/>
    </row>
    <row r="28" spans="1:21" x14ac:dyDescent="0.25">
      <c r="B28" s="28"/>
      <c r="F28" s="8"/>
      <c r="H28" s="8"/>
    </row>
    <row r="29" spans="1:21" x14ac:dyDescent="0.25">
      <c r="B29" s="28"/>
      <c r="F29" s="8"/>
      <c r="H29" s="8"/>
    </row>
    <row r="30" spans="1:21" x14ac:dyDescent="0.25">
      <c r="B30" s="28"/>
      <c r="F30" s="8"/>
      <c r="H30" s="8"/>
    </row>
  </sheetData>
  <dataConsolidate/>
  <mergeCells count="10">
    <mergeCell ref="A1:I1"/>
    <mergeCell ref="L2:N2"/>
    <mergeCell ref="A3:I3"/>
    <mergeCell ref="L3:N3"/>
    <mergeCell ref="A4:A6"/>
    <mergeCell ref="B4:F4"/>
    <mergeCell ref="G4:I4"/>
    <mergeCell ref="G5:G6"/>
    <mergeCell ref="H5:H6"/>
    <mergeCell ref="I5:I6"/>
  </mergeCells>
  <dataValidations count="1">
    <dataValidation type="list" allowBlank="1" showInputMessage="1" showErrorMessage="1" sqref="L3:N3">
      <formula1>lista_comercio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topLeftCell="D1" workbookViewId="0">
      <selection activeCell="D3" sqref="D3"/>
    </sheetView>
  </sheetViews>
  <sheetFormatPr defaultRowHeight="15" x14ac:dyDescent="0.25"/>
  <cols>
    <col min="1" max="1" width="0" hidden="1" customWidth="1"/>
    <col min="2" max="3" width="9.28515625" hidden="1" customWidth="1"/>
    <col min="4" max="4" width="17" customWidth="1"/>
    <col min="5" max="5" width="12.140625" customWidth="1"/>
    <col min="6" max="6" width="11.7109375" bestFit="1" customWidth="1"/>
    <col min="7" max="7" width="13.140625" bestFit="1" customWidth="1"/>
    <col min="8" max="8" width="14.28515625" bestFit="1" customWidth="1"/>
    <col min="9" max="9" width="13.42578125" customWidth="1"/>
    <col min="10" max="10" width="11.5703125" bestFit="1" customWidth="1"/>
    <col min="11" max="11" width="14.28515625" bestFit="1" customWidth="1"/>
    <col min="12" max="12" width="12.5703125" bestFit="1" customWidth="1"/>
    <col min="13" max="14" width="14.28515625" bestFit="1" customWidth="1"/>
    <col min="15" max="15" width="12.5703125" bestFit="1" customWidth="1"/>
    <col min="16" max="17" width="11.5703125" bestFit="1" customWidth="1"/>
    <col min="18" max="18" width="12.42578125" customWidth="1"/>
    <col min="19" max="19" width="10.5703125" bestFit="1" customWidth="1"/>
  </cols>
  <sheetData>
    <row r="1" spans="1:19" ht="21" x14ac:dyDescent="0.35">
      <c r="D1" s="46" t="s">
        <v>39</v>
      </c>
      <c r="E1" s="47"/>
      <c r="F1" s="48"/>
      <c r="G1" s="48"/>
      <c r="H1" s="48"/>
      <c r="I1" s="49"/>
      <c r="J1" s="47"/>
      <c r="K1" s="50"/>
      <c r="L1" s="47"/>
      <c r="M1" s="47"/>
      <c r="N1" s="47"/>
    </row>
    <row r="2" spans="1:19" ht="21" x14ac:dyDescent="0.35">
      <c r="D2" s="51" t="s">
        <v>17</v>
      </c>
      <c r="E2" s="47"/>
      <c r="F2" s="48"/>
      <c r="G2" s="48"/>
      <c r="H2" s="48"/>
      <c r="I2" s="50"/>
      <c r="J2" s="52"/>
      <c r="K2" s="47"/>
      <c r="L2" s="47"/>
      <c r="M2" s="47"/>
      <c r="N2" s="47"/>
    </row>
    <row r="3" spans="1:19" ht="15.75" thickBot="1" x14ac:dyDescent="0.3">
      <c r="E3" s="47"/>
      <c r="F3" s="48"/>
      <c r="G3" s="48"/>
      <c r="H3" s="48"/>
      <c r="I3" s="53"/>
      <c r="J3" s="48"/>
      <c r="K3" s="47"/>
      <c r="L3" s="47"/>
      <c r="M3" s="47"/>
      <c r="N3" s="47"/>
    </row>
    <row r="4" spans="1:19" ht="19.5" customHeight="1" x14ac:dyDescent="0.25">
      <c r="D4" s="112" t="s">
        <v>18</v>
      </c>
      <c r="E4" s="114" t="s">
        <v>42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19" ht="68.25" thickBot="1" x14ac:dyDescent="0.3">
      <c r="D5" s="113"/>
      <c r="E5" s="74" t="s">
        <v>22</v>
      </c>
      <c r="F5" s="75" t="s">
        <v>23</v>
      </c>
      <c r="G5" s="75" t="s">
        <v>24</v>
      </c>
      <c r="H5" s="75" t="s">
        <v>25</v>
      </c>
      <c r="I5" s="75" t="s">
        <v>26</v>
      </c>
      <c r="J5" s="75" t="s">
        <v>27</v>
      </c>
      <c r="K5" s="75" t="s">
        <v>28</v>
      </c>
      <c r="L5" s="75" t="s">
        <v>29</v>
      </c>
      <c r="M5" s="75" t="s">
        <v>30</v>
      </c>
      <c r="N5" s="75" t="s">
        <v>31</v>
      </c>
      <c r="O5" s="75" t="s">
        <v>32</v>
      </c>
      <c r="P5" s="75" t="s">
        <v>33</v>
      </c>
      <c r="Q5" s="75" t="s">
        <v>34</v>
      </c>
      <c r="R5" s="75" t="s">
        <v>35</v>
      </c>
      <c r="S5" s="76" t="s">
        <v>36</v>
      </c>
    </row>
    <row r="6" spans="1:19" x14ac:dyDescent="0.25">
      <c r="A6" s="6" t="str">
        <f>dados_comercio!A4</f>
        <v>20171</v>
      </c>
      <c r="B6" s="6">
        <f>dados_comercio!B4</f>
        <v>2017</v>
      </c>
      <c r="C6" s="6">
        <f>dados_comercio!C4</f>
        <v>1</v>
      </c>
      <c r="D6" s="57">
        <f>dados_comercio!D4</f>
        <v>42736</v>
      </c>
      <c r="E6" s="58">
        <f>dados_comercio!E4</f>
        <v>87.6</v>
      </c>
      <c r="F6" s="58">
        <f>dados_comercio!F4</f>
        <v>83.7</v>
      </c>
      <c r="G6" s="58">
        <f>dados_comercio!G4</f>
        <v>74</v>
      </c>
      <c r="H6" s="58">
        <f>dados_comercio!H4</f>
        <v>87.6</v>
      </c>
      <c r="I6" s="58">
        <f>dados_comercio!I4</f>
        <v>88.8</v>
      </c>
      <c r="J6" s="58">
        <f>dados_comercio!J4</f>
        <v>64.599999999999994</v>
      </c>
      <c r="K6" s="58">
        <f>dados_comercio!K4</f>
        <v>72.099999999999994</v>
      </c>
      <c r="L6" s="58">
        <f>dados_comercio!L4</f>
        <v>63.4</v>
      </c>
      <c r="M6" s="58">
        <f>dados_comercio!M4</f>
        <v>72.3</v>
      </c>
      <c r="N6" s="58">
        <f>dados_comercio!N4</f>
        <v>99.9</v>
      </c>
      <c r="O6" s="58">
        <f>dados_comercio!O4</f>
        <v>118.2</v>
      </c>
      <c r="P6" s="58">
        <f>dados_comercio!P4</f>
        <v>75.8</v>
      </c>
      <c r="Q6" s="58">
        <f>dados_comercio!Q4</f>
        <v>86.7</v>
      </c>
      <c r="R6" s="58">
        <f>dados_comercio!R4</f>
        <v>66.5</v>
      </c>
      <c r="S6" s="77">
        <f>dados_comercio!S4</f>
        <v>86</v>
      </c>
    </row>
    <row r="7" spans="1:19" x14ac:dyDescent="0.25">
      <c r="A7" s="6" t="str">
        <f>dados_comercio!A5</f>
        <v>20172</v>
      </c>
      <c r="B7" s="6">
        <f>dados_comercio!B5</f>
        <v>2017</v>
      </c>
      <c r="C7" s="6">
        <f>dados_comercio!C5</f>
        <v>2</v>
      </c>
      <c r="D7" s="59">
        <f>dados_comercio!D5</f>
        <v>42767</v>
      </c>
      <c r="E7" s="60">
        <f>dados_comercio!E5</f>
        <v>88.4</v>
      </c>
      <c r="F7" s="60">
        <f>dados_comercio!F5</f>
        <v>78.7</v>
      </c>
      <c r="G7" s="60">
        <f>dados_comercio!G5</f>
        <v>69.599999999999994</v>
      </c>
      <c r="H7" s="60">
        <f>dados_comercio!H5</f>
        <v>88.3</v>
      </c>
      <c r="I7" s="60">
        <f>dados_comercio!I5</f>
        <v>90.1</v>
      </c>
      <c r="J7" s="60">
        <f>dados_comercio!J5</f>
        <v>56.8</v>
      </c>
      <c r="K7" s="60">
        <f>dados_comercio!K5</f>
        <v>58.5</v>
      </c>
      <c r="L7" s="60">
        <f>dados_comercio!L5</f>
        <v>53.1</v>
      </c>
      <c r="M7" s="60">
        <f>dados_comercio!M5</f>
        <v>58.5</v>
      </c>
      <c r="N7" s="60">
        <f>dados_comercio!N5</f>
        <v>91.7</v>
      </c>
      <c r="O7" s="60">
        <f>dados_comercio!O5</f>
        <v>105.6</v>
      </c>
      <c r="P7" s="60">
        <f>dados_comercio!P5</f>
        <v>92.3</v>
      </c>
      <c r="Q7" s="60">
        <f>dados_comercio!Q5</f>
        <v>71.099999999999994</v>
      </c>
      <c r="R7" s="60">
        <f>dados_comercio!R5</f>
        <v>58.9</v>
      </c>
      <c r="S7" s="78">
        <f>dados_comercio!S5</f>
        <v>77.8</v>
      </c>
    </row>
    <row r="8" spans="1:19" x14ac:dyDescent="0.25">
      <c r="A8" s="6" t="str">
        <f>dados_comercio!A6</f>
        <v>20173</v>
      </c>
      <c r="B8" s="6">
        <f>dados_comercio!B6</f>
        <v>2017</v>
      </c>
      <c r="C8" s="6">
        <f>dados_comercio!C6</f>
        <v>3</v>
      </c>
      <c r="D8" s="59">
        <f>dados_comercio!D6</f>
        <v>42795</v>
      </c>
      <c r="E8" s="60">
        <f>dados_comercio!E6</f>
        <v>86</v>
      </c>
      <c r="F8" s="60">
        <f>dados_comercio!F6</f>
        <v>84.2</v>
      </c>
      <c r="G8" s="60">
        <f>dados_comercio!G6</f>
        <v>75.5</v>
      </c>
      <c r="H8" s="60">
        <f>dados_comercio!H6</f>
        <v>86.8</v>
      </c>
      <c r="I8" s="60">
        <f>dados_comercio!I6</f>
        <v>86.5</v>
      </c>
      <c r="J8" s="60">
        <f>dados_comercio!J6</f>
        <v>71.099999999999994</v>
      </c>
      <c r="K8" s="60">
        <f>dados_comercio!K6</f>
        <v>70.900000000000006</v>
      </c>
      <c r="L8" s="60">
        <f>dados_comercio!L6</f>
        <v>61.6</v>
      </c>
      <c r="M8" s="60">
        <f>dados_comercio!M6</f>
        <v>72.2</v>
      </c>
      <c r="N8" s="60">
        <f>dados_comercio!N6</f>
        <v>103.7</v>
      </c>
      <c r="O8" s="60">
        <f>dados_comercio!O6</f>
        <v>75.8</v>
      </c>
      <c r="P8" s="60">
        <f>dados_comercio!P6</f>
        <v>116.7</v>
      </c>
      <c r="Q8" s="60">
        <f>dados_comercio!Q6</f>
        <v>86.1</v>
      </c>
      <c r="R8" s="60">
        <f>dados_comercio!R6</f>
        <v>78.5</v>
      </c>
      <c r="S8" s="78">
        <f>dados_comercio!S6</f>
        <v>91.2</v>
      </c>
    </row>
    <row r="9" spans="1:19" x14ac:dyDescent="0.25">
      <c r="A9" s="6" t="str">
        <f>dados_comercio!A7</f>
        <v>20174</v>
      </c>
      <c r="B9" s="6">
        <f>dados_comercio!B7</f>
        <v>2017</v>
      </c>
      <c r="C9" s="6">
        <f>dados_comercio!C7</f>
        <v>4</v>
      </c>
      <c r="D9" s="59">
        <f>dados_comercio!D7</f>
        <v>42826</v>
      </c>
      <c r="E9" s="60">
        <f>dados_comercio!E7</f>
        <v>87.3</v>
      </c>
      <c r="F9" s="60">
        <f>dados_comercio!F7</f>
        <v>81.900000000000006</v>
      </c>
      <c r="G9" s="60">
        <f>dados_comercio!G7</f>
        <v>69.5</v>
      </c>
      <c r="H9" s="60">
        <f>dados_comercio!H7</f>
        <v>84.1</v>
      </c>
      <c r="I9" s="60">
        <f>dados_comercio!I7</f>
        <v>84.5</v>
      </c>
      <c r="J9" s="60">
        <f>dados_comercio!J7</f>
        <v>75.3</v>
      </c>
      <c r="K9" s="60">
        <f>dados_comercio!K7</f>
        <v>60.7</v>
      </c>
      <c r="L9" s="60">
        <f>dados_comercio!L7</f>
        <v>59.2</v>
      </c>
      <c r="M9" s="60">
        <f>dados_comercio!M7</f>
        <v>59.7</v>
      </c>
      <c r="N9" s="60">
        <f>dados_comercio!N7</f>
        <v>102.4</v>
      </c>
      <c r="O9" s="60">
        <f>dados_comercio!O7</f>
        <v>53.9</v>
      </c>
      <c r="P9" s="60">
        <f>dados_comercio!P7</f>
        <v>107.9</v>
      </c>
      <c r="Q9" s="60">
        <f>dados_comercio!Q7</f>
        <v>89.6</v>
      </c>
      <c r="R9" s="60">
        <f>dados_comercio!R7</f>
        <v>63.6</v>
      </c>
      <c r="S9" s="78">
        <f>dados_comercio!S7</f>
        <v>78.2</v>
      </c>
    </row>
    <row r="10" spans="1:19" x14ac:dyDescent="0.25">
      <c r="A10" s="6" t="str">
        <f>dados_comercio!A8</f>
        <v>20175</v>
      </c>
      <c r="B10" s="6">
        <f>dados_comercio!B8</f>
        <v>2017</v>
      </c>
      <c r="C10" s="6">
        <f>dados_comercio!C8</f>
        <v>5</v>
      </c>
      <c r="D10" s="59">
        <f>dados_comercio!D8</f>
        <v>42856</v>
      </c>
      <c r="E10" s="60">
        <f>dados_comercio!E8</f>
        <v>87.7</v>
      </c>
      <c r="F10" s="60">
        <f>dados_comercio!F8</f>
        <v>86.1</v>
      </c>
      <c r="G10" s="60">
        <f>dados_comercio!G8</f>
        <v>72.5</v>
      </c>
      <c r="H10" s="60">
        <f>dados_comercio!H8</f>
        <v>88.1</v>
      </c>
      <c r="I10" s="60">
        <f>dados_comercio!I8</f>
        <v>89.1</v>
      </c>
      <c r="J10" s="60">
        <f>dados_comercio!J8</f>
        <v>82.3</v>
      </c>
      <c r="K10" s="60">
        <f>dados_comercio!K8</f>
        <v>71.099999999999994</v>
      </c>
      <c r="L10" s="60">
        <f>dados_comercio!L8</f>
        <v>63.9</v>
      </c>
      <c r="M10" s="60">
        <f>dados_comercio!M8</f>
        <v>72.099999999999994</v>
      </c>
      <c r="N10" s="60">
        <f>dados_comercio!N8</f>
        <v>109.4</v>
      </c>
      <c r="O10" s="60">
        <f>dados_comercio!O8</f>
        <v>57.2</v>
      </c>
      <c r="P10" s="60">
        <f>dados_comercio!P8</f>
        <v>116.1</v>
      </c>
      <c r="Q10" s="60">
        <f>dados_comercio!Q8</f>
        <v>87.1</v>
      </c>
      <c r="R10" s="60">
        <f>dados_comercio!R8</f>
        <v>77.599999999999994</v>
      </c>
      <c r="S10" s="78">
        <f>dados_comercio!S8</f>
        <v>82.3</v>
      </c>
    </row>
    <row r="11" spans="1:19" x14ac:dyDescent="0.25">
      <c r="A11" s="6" t="str">
        <f>dados_comercio!A9</f>
        <v>20176</v>
      </c>
      <c r="B11" s="6">
        <f>dados_comercio!B9</f>
        <v>2017</v>
      </c>
      <c r="C11" s="6">
        <f>dados_comercio!C9</f>
        <v>6</v>
      </c>
      <c r="D11" s="59">
        <f>dados_comercio!D9</f>
        <v>42887</v>
      </c>
      <c r="E11" s="60">
        <f>dados_comercio!E9</f>
        <v>88.1</v>
      </c>
      <c r="F11" s="60">
        <f>dados_comercio!F9</f>
        <v>82.9</v>
      </c>
      <c r="G11" s="60">
        <f>dados_comercio!G9</f>
        <v>72.5</v>
      </c>
      <c r="H11" s="60">
        <f>dados_comercio!H9</f>
        <v>84.6</v>
      </c>
      <c r="I11" s="60">
        <f>dados_comercio!I9</f>
        <v>85</v>
      </c>
      <c r="J11" s="60">
        <f>dados_comercio!J9</f>
        <v>77.2</v>
      </c>
      <c r="K11" s="60">
        <f>dados_comercio!K9</f>
        <v>67.099999999999994</v>
      </c>
      <c r="L11" s="60">
        <f>dados_comercio!L9</f>
        <v>65.400000000000006</v>
      </c>
      <c r="M11" s="60">
        <f>dados_comercio!M9</f>
        <v>66.400000000000006</v>
      </c>
      <c r="N11" s="60">
        <f>dados_comercio!N9</f>
        <v>103.8</v>
      </c>
      <c r="O11" s="60">
        <f>dados_comercio!O9</f>
        <v>53.7</v>
      </c>
      <c r="P11" s="60">
        <f>dados_comercio!P9</f>
        <v>110.2</v>
      </c>
      <c r="Q11" s="60">
        <f>dados_comercio!Q9</f>
        <v>86.2</v>
      </c>
      <c r="R11" s="60">
        <f>dados_comercio!R9</f>
        <v>70.900000000000006</v>
      </c>
      <c r="S11" s="78">
        <f>dados_comercio!S9</f>
        <v>78</v>
      </c>
    </row>
    <row r="12" spans="1:19" x14ac:dyDescent="0.25">
      <c r="A12" s="6" t="str">
        <f>dados_comercio!A10</f>
        <v>20177</v>
      </c>
      <c r="B12" s="6">
        <f>dados_comercio!B10</f>
        <v>2017</v>
      </c>
      <c r="C12" s="6">
        <f>dados_comercio!C10</f>
        <v>7</v>
      </c>
      <c r="D12" s="59">
        <f>dados_comercio!D10</f>
        <v>42917</v>
      </c>
      <c r="E12" s="60">
        <f>dados_comercio!E10</f>
        <v>88.9</v>
      </c>
      <c r="F12" s="60">
        <f>dados_comercio!F10</f>
        <v>85.1</v>
      </c>
      <c r="G12" s="60">
        <f>dados_comercio!G10</f>
        <v>69.5</v>
      </c>
      <c r="H12" s="60">
        <f>dados_comercio!H10</f>
        <v>90.1</v>
      </c>
      <c r="I12" s="60">
        <f>dados_comercio!I10</f>
        <v>89.5</v>
      </c>
      <c r="J12" s="60">
        <f>dados_comercio!J10</f>
        <v>82.4</v>
      </c>
      <c r="K12" s="60">
        <f>dados_comercio!K10</f>
        <v>67.900000000000006</v>
      </c>
      <c r="L12" s="60">
        <f>dados_comercio!L10</f>
        <v>67.400000000000006</v>
      </c>
      <c r="M12" s="60">
        <f>dados_comercio!M10</f>
        <v>66.8</v>
      </c>
      <c r="N12" s="60">
        <f>dados_comercio!N10</f>
        <v>106.9</v>
      </c>
      <c r="O12" s="60">
        <f>dados_comercio!O10</f>
        <v>55.4</v>
      </c>
      <c r="P12" s="60">
        <f>dados_comercio!P10</f>
        <v>76.5</v>
      </c>
      <c r="Q12" s="60">
        <f>dados_comercio!Q10</f>
        <v>82</v>
      </c>
      <c r="R12" s="60">
        <f>dados_comercio!R10</f>
        <v>65.7</v>
      </c>
      <c r="S12" s="78">
        <f>dados_comercio!S10</f>
        <v>83.9</v>
      </c>
    </row>
    <row r="13" spans="1:19" x14ac:dyDescent="0.25">
      <c r="A13" s="6" t="str">
        <f>dados_comercio!A11</f>
        <v>20178</v>
      </c>
      <c r="B13" s="6">
        <f>dados_comercio!B11</f>
        <v>2017</v>
      </c>
      <c r="C13" s="6">
        <f>dados_comercio!C11</f>
        <v>8</v>
      </c>
      <c r="D13" s="59">
        <f>dados_comercio!D11</f>
        <v>42948</v>
      </c>
      <c r="E13" s="60">
        <f>dados_comercio!E11</f>
        <v>87.5</v>
      </c>
      <c r="F13" s="60">
        <f>dados_comercio!F11</f>
        <v>87.1</v>
      </c>
      <c r="G13" s="60">
        <f>dados_comercio!G11</f>
        <v>68</v>
      </c>
      <c r="H13" s="60">
        <f>dados_comercio!H11</f>
        <v>93.1</v>
      </c>
      <c r="I13" s="60">
        <f>dados_comercio!I11</f>
        <v>92.5</v>
      </c>
      <c r="J13" s="60">
        <f>dados_comercio!J11</f>
        <v>78.900000000000006</v>
      </c>
      <c r="K13" s="60">
        <f>dados_comercio!K11</f>
        <v>68.900000000000006</v>
      </c>
      <c r="L13" s="60">
        <f>dados_comercio!L11</f>
        <v>70.099999999999994</v>
      </c>
      <c r="M13" s="60">
        <f>dados_comercio!M11</f>
        <v>67.3</v>
      </c>
      <c r="N13" s="60">
        <f>dados_comercio!N11</f>
        <v>108.4</v>
      </c>
      <c r="O13" s="60">
        <f>dados_comercio!O11</f>
        <v>55.4</v>
      </c>
      <c r="P13" s="60">
        <f>dados_comercio!P11</f>
        <v>77.7</v>
      </c>
      <c r="Q13" s="60">
        <f>dados_comercio!Q11</f>
        <v>87.6</v>
      </c>
      <c r="R13" s="60">
        <f>dados_comercio!R11</f>
        <v>73.400000000000006</v>
      </c>
      <c r="S13" s="78">
        <f>dados_comercio!S11</f>
        <v>91.9</v>
      </c>
    </row>
    <row r="14" spans="1:19" x14ac:dyDescent="0.25">
      <c r="A14" s="6" t="str">
        <f>dados_comercio!A12</f>
        <v>20179</v>
      </c>
      <c r="B14" s="6">
        <f>dados_comercio!B12</f>
        <v>2017</v>
      </c>
      <c r="C14" s="6">
        <f>dados_comercio!C12</f>
        <v>9</v>
      </c>
      <c r="D14" s="59">
        <f>dados_comercio!D12</f>
        <v>42979</v>
      </c>
      <c r="E14" s="60">
        <f>dados_comercio!E12</f>
        <v>88.7</v>
      </c>
      <c r="F14" s="60">
        <f>dados_comercio!F12</f>
        <v>85.9</v>
      </c>
      <c r="G14" s="60">
        <f>dados_comercio!G12</f>
        <v>66.400000000000006</v>
      </c>
      <c r="H14" s="60">
        <f>dados_comercio!H12</f>
        <v>89.3</v>
      </c>
      <c r="I14" s="60">
        <f>dados_comercio!I12</f>
        <v>88.3</v>
      </c>
      <c r="J14" s="60">
        <f>dados_comercio!J12</f>
        <v>75</v>
      </c>
      <c r="K14" s="60">
        <f>dados_comercio!K12</f>
        <v>67.3</v>
      </c>
      <c r="L14" s="60">
        <f>dados_comercio!L12</f>
        <v>67.7</v>
      </c>
      <c r="M14" s="60">
        <f>dados_comercio!M12</f>
        <v>66.099999999999994</v>
      </c>
      <c r="N14" s="60">
        <f>dados_comercio!N12</f>
        <v>106.7</v>
      </c>
      <c r="O14" s="60">
        <f>dados_comercio!O12</f>
        <v>50.8</v>
      </c>
      <c r="P14" s="60">
        <f>dados_comercio!P12</f>
        <v>76.5</v>
      </c>
      <c r="Q14" s="60">
        <f>dados_comercio!Q12</f>
        <v>98.5</v>
      </c>
      <c r="R14" s="60">
        <f>dados_comercio!R12</f>
        <v>71.099999999999994</v>
      </c>
      <c r="S14" s="78">
        <f>dados_comercio!S12</f>
        <v>82.9</v>
      </c>
    </row>
    <row r="15" spans="1:19" x14ac:dyDescent="0.25">
      <c r="A15" s="6" t="str">
        <f>dados_comercio!A13</f>
        <v>201710</v>
      </c>
      <c r="B15" s="6">
        <f>dados_comercio!B13</f>
        <v>2017</v>
      </c>
      <c r="C15" s="6">
        <f>dados_comercio!C13</f>
        <v>10</v>
      </c>
      <c r="D15" s="59">
        <f>dados_comercio!D13</f>
        <v>43009</v>
      </c>
      <c r="E15" s="60">
        <f>dados_comercio!E13</f>
        <v>87.4</v>
      </c>
      <c r="F15" s="60">
        <f>dados_comercio!F13</f>
        <v>86.8</v>
      </c>
      <c r="G15" s="60">
        <f>dados_comercio!G13</f>
        <v>67</v>
      </c>
      <c r="H15" s="60">
        <f>dados_comercio!H13</f>
        <v>93.7</v>
      </c>
      <c r="I15" s="60">
        <f>dados_comercio!I13</f>
        <v>95.4</v>
      </c>
      <c r="J15" s="60">
        <f>dados_comercio!J13</f>
        <v>71.900000000000006</v>
      </c>
      <c r="K15" s="60">
        <f>dados_comercio!K13</f>
        <v>67.099999999999994</v>
      </c>
      <c r="L15" s="60">
        <f>dados_comercio!L13</f>
        <v>70.900000000000006</v>
      </c>
      <c r="M15" s="60">
        <f>dados_comercio!M13</f>
        <v>64.7</v>
      </c>
      <c r="N15" s="60">
        <f>dados_comercio!N13</f>
        <v>106</v>
      </c>
      <c r="O15" s="60">
        <f>dados_comercio!O13</f>
        <v>58.8</v>
      </c>
      <c r="P15" s="60">
        <f>dados_comercio!P13</f>
        <v>70.3</v>
      </c>
      <c r="Q15" s="60">
        <f>dados_comercio!Q13</f>
        <v>92.1</v>
      </c>
      <c r="R15" s="60">
        <f>dados_comercio!R13</f>
        <v>68.7</v>
      </c>
      <c r="S15" s="78">
        <f>dados_comercio!S13</f>
        <v>82.9</v>
      </c>
    </row>
    <row r="16" spans="1:19" x14ac:dyDescent="0.25">
      <c r="A16" s="6" t="str">
        <f>dados_comercio!A14</f>
        <v>201711</v>
      </c>
      <c r="B16" s="6">
        <f>dados_comercio!B14</f>
        <v>2017</v>
      </c>
      <c r="C16" s="6">
        <f>dados_comercio!C14</f>
        <v>11</v>
      </c>
      <c r="D16" s="59">
        <f>dados_comercio!D14</f>
        <v>43040</v>
      </c>
      <c r="E16" s="60">
        <f>dados_comercio!E14</f>
        <v>86.9</v>
      </c>
      <c r="F16" s="60">
        <f>dados_comercio!F14</f>
        <v>90.9</v>
      </c>
      <c r="G16" s="60">
        <f>dados_comercio!G14</f>
        <v>60</v>
      </c>
      <c r="H16" s="60">
        <f>dados_comercio!H14</f>
        <v>87.6</v>
      </c>
      <c r="I16" s="60">
        <f>dados_comercio!I14</f>
        <v>87.9</v>
      </c>
      <c r="J16" s="60">
        <f>dados_comercio!J14</f>
        <v>83.3</v>
      </c>
      <c r="K16" s="60">
        <f>dados_comercio!K14</f>
        <v>91.5</v>
      </c>
      <c r="L16" s="60">
        <f>dados_comercio!L14</f>
        <v>95.5</v>
      </c>
      <c r="M16" s="60">
        <f>dados_comercio!M14</f>
        <v>88.4</v>
      </c>
      <c r="N16" s="60">
        <f>dados_comercio!N14</f>
        <v>101.5</v>
      </c>
      <c r="O16" s="60">
        <f>dados_comercio!O14</f>
        <v>65.5</v>
      </c>
      <c r="P16" s="60">
        <f>dados_comercio!P14</f>
        <v>91.3</v>
      </c>
      <c r="Q16" s="60">
        <f>dados_comercio!Q14</f>
        <v>121.6</v>
      </c>
      <c r="R16" s="60">
        <f>dados_comercio!R14</f>
        <v>78.8</v>
      </c>
      <c r="S16" s="78">
        <f>dados_comercio!S14</f>
        <v>84.2</v>
      </c>
    </row>
    <row r="17" spans="1:19" x14ac:dyDescent="0.25">
      <c r="A17" s="6" t="str">
        <f>dados_comercio!A15</f>
        <v>201712</v>
      </c>
      <c r="B17" s="6">
        <f>dados_comercio!B15</f>
        <v>2017</v>
      </c>
      <c r="C17" s="6">
        <f>dados_comercio!C15</f>
        <v>12</v>
      </c>
      <c r="D17" s="59">
        <f>dados_comercio!D15</f>
        <v>43070</v>
      </c>
      <c r="E17" s="60">
        <f>dados_comercio!E15</f>
        <v>86.2</v>
      </c>
      <c r="F17" s="60">
        <f>dados_comercio!F15</f>
        <v>115.1</v>
      </c>
      <c r="G17" s="60">
        <f>dados_comercio!G15</f>
        <v>65.900000000000006</v>
      </c>
      <c r="H17" s="60">
        <f>dados_comercio!H15</f>
        <v>110.3</v>
      </c>
      <c r="I17" s="60">
        <f>dados_comercio!I15</f>
        <v>111.1</v>
      </c>
      <c r="J17" s="60">
        <f>dados_comercio!J15</f>
        <v>141.6</v>
      </c>
      <c r="K17" s="60">
        <f>dados_comercio!K15</f>
        <v>102.7</v>
      </c>
      <c r="L17" s="60">
        <f>dados_comercio!L15</f>
        <v>105.6</v>
      </c>
      <c r="M17" s="60">
        <f>dados_comercio!M15</f>
        <v>99.9</v>
      </c>
      <c r="N17" s="60">
        <f>dados_comercio!N15</f>
        <v>111.2</v>
      </c>
      <c r="O17" s="60">
        <f>dados_comercio!O15</f>
        <v>106.5</v>
      </c>
      <c r="P17" s="60">
        <f>dados_comercio!P15</f>
        <v>121</v>
      </c>
      <c r="Q17" s="60">
        <f>dados_comercio!Q15</f>
        <v>153.9</v>
      </c>
      <c r="R17" s="60">
        <f>dados_comercio!R15</f>
        <v>73.099999999999994</v>
      </c>
      <c r="S17" s="78">
        <f>dados_comercio!S15</f>
        <v>82.4</v>
      </c>
    </row>
    <row r="18" spans="1:19" x14ac:dyDescent="0.25">
      <c r="A18" s="6" t="str">
        <f>dados_comercio!A16</f>
        <v>20181</v>
      </c>
      <c r="B18" s="6">
        <f>dados_comercio!B16</f>
        <v>2018</v>
      </c>
      <c r="C18" s="6">
        <f>dados_comercio!C16</f>
        <v>1</v>
      </c>
      <c r="D18" s="59">
        <f>dados_comercio!D16</f>
        <v>43101</v>
      </c>
      <c r="E18" s="60">
        <f>dados_comercio!E16</f>
        <v>87.4</v>
      </c>
      <c r="F18" s="60">
        <f>dados_comercio!F16</f>
        <v>84.3</v>
      </c>
      <c r="G18" s="60">
        <f>dados_comercio!G16</f>
        <v>59.1</v>
      </c>
      <c r="H18" s="60">
        <f>dados_comercio!H16</f>
        <v>86</v>
      </c>
      <c r="I18" s="60">
        <f>dados_comercio!I16</f>
        <v>84.8</v>
      </c>
      <c r="J18" s="60">
        <f>dados_comercio!J16</f>
        <v>69.5</v>
      </c>
      <c r="K18" s="60">
        <f>dados_comercio!K16</f>
        <v>79.5</v>
      </c>
      <c r="L18" s="60">
        <f>dados_comercio!L16</f>
        <v>69.099999999999994</v>
      </c>
      <c r="M18" s="60">
        <f>dados_comercio!M16</f>
        <v>80.900000000000006</v>
      </c>
      <c r="N18" s="60">
        <f>dados_comercio!N16</f>
        <v>104.6</v>
      </c>
      <c r="O18" s="60">
        <f>dados_comercio!O16</f>
        <v>126.4</v>
      </c>
      <c r="P18" s="60">
        <f>dados_comercio!P16</f>
        <v>77.5</v>
      </c>
      <c r="Q18" s="60">
        <f>dados_comercio!Q16</f>
        <v>93.7</v>
      </c>
      <c r="R18" s="60">
        <f>dados_comercio!R16</f>
        <v>77.3</v>
      </c>
      <c r="S18" s="78">
        <f>dados_comercio!S16</f>
        <v>87.2</v>
      </c>
    </row>
    <row r="19" spans="1:19" x14ac:dyDescent="0.25">
      <c r="A19" s="6" t="str">
        <f>dados_comercio!A17</f>
        <v>20182</v>
      </c>
      <c r="B19" s="6">
        <f>dados_comercio!B17</f>
        <v>2018</v>
      </c>
      <c r="C19" s="6">
        <f>dados_comercio!C17</f>
        <v>2</v>
      </c>
      <c r="D19" s="59">
        <f>dados_comercio!D17</f>
        <v>43132</v>
      </c>
      <c r="E19" s="60">
        <f>dados_comercio!E17</f>
        <v>87</v>
      </c>
      <c r="F19" s="60">
        <f>dados_comercio!F17</f>
        <v>77.5</v>
      </c>
      <c r="G19" s="60">
        <f>dados_comercio!G17</f>
        <v>56.2</v>
      </c>
      <c r="H19" s="60">
        <f>dados_comercio!H17</f>
        <v>84.3</v>
      </c>
      <c r="I19" s="60">
        <f>dados_comercio!I17</f>
        <v>83.5</v>
      </c>
      <c r="J19" s="60">
        <f>dados_comercio!J17</f>
        <v>57.5</v>
      </c>
      <c r="K19" s="60">
        <f>dados_comercio!K17</f>
        <v>63.4</v>
      </c>
      <c r="L19" s="60">
        <f>dados_comercio!L17</f>
        <v>57.8</v>
      </c>
      <c r="M19" s="60">
        <f>dados_comercio!M17</f>
        <v>63.9</v>
      </c>
      <c r="N19" s="60">
        <f>dados_comercio!N17</f>
        <v>97.2</v>
      </c>
      <c r="O19" s="60">
        <f>dados_comercio!O17</f>
        <v>115.3</v>
      </c>
      <c r="P19" s="60">
        <f>dados_comercio!P17</f>
        <v>80</v>
      </c>
      <c r="Q19" s="60">
        <f>dados_comercio!Q17</f>
        <v>77.400000000000006</v>
      </c>
      <c r="R19" s="60">
        <f>dados_comercio!R17</f>
        <v>63.6</v>
      </c>
      <c r="S19" s="78">
        <f>dados_comercio!S17</f>
        <v>71.900000000000006</v>
      </c>
    </row>
    <row r="20" spans="1:19" x14ac:dyDescent="0.25">
      <c r="A20" s="6" t="str">
        <f>dados_comercio!A18</f>
        <v>20183</v>
      </c>
      <c r="B20" s="6">
        <f>dados_comercio!B18</f>
        <v>2018</v>
      </c>
      <c r="C20" s="6">
        <f>dados_comercio!C18</f>
        <v>3</v>
      </c>
      <c r="D20" s="59">
        <f>dados_comercio!D18</f>
        <v>43160</v>
      </c>
      <c r="E20" s="60">
        <f>dados_comercio!E18</f>
        <v>89.3</v>
      </c>
      <c r="F20" s="60">
        <f>dados_comercio!F18</f>
        <v>91</v>
      </c>
      <c r="G20" s="60">
        <f>dados_comercio!G18</f>
        <v>63.1</v>
      </c>
      <c r="H20" s="60">
        <f>dados_comercio!H18</f>
        <v>95.6</v>
      </c>
      <c r="I20" s="60">
        <f>dados_comercio!I18</f>
        <v>94.4</v>
      </c>
      <c r="J20" s="60">
        <f>dados_comercio!J18</f>
        <v>70.5</v>
      </c>
      <c r="K20" s="60">
        <f>dados_comercio!K18</f>
        <v>78</v>
      </c>
      <c r="L20" s="60">
        <f>dados_comercio!L18</f>
        <v>66.7</v>
      </c>
      <c r="M20" s="60">
        <f>dados_comercio!M18</f>
        <v>79.900000000000006</v>
      </c>
      <c r="N20" s="60">
        <f>dados_comercio!N18</f>
        <v>116.2</v>
      </c>
      <c r="O20" s="60">
        <f>dados_comercio!O18</f>
        <v>66.8</v>
      </c>
      <c r="P20" s="60">
        <f>dados_comercio!P18</f>
        <v>90.3</v>
      </c>
      <c r="Q20" s="60">
        <f>dados_comercio!Q18</f>
        <v>103.3</v>
      </c>
      <c r="R20" s="60">
        <f>dados_comercio!R18</f>
        <v>78.2</v>
      </c>
      <c r="S20" s="78">
        <f>dados_comercio!S18</f>
        <v>87.3</v>
      </c>
    </row>
    <row r="21" spans="1:19" x14ac:dyDescent="0.25">
      <c r="A21" s="6" t="str">
        <f>dados_comercio!A19</f>
        <v>20184</v>
      </c>
      <c r="B21" s="6">
        <f>dados_comercio!B19</f>
        <v>2018</v>
      </c>
      <c r="C21" s="6">
        <f>dados_comercio!C19</f>
        <v>4</v>
      </c>
      <c r="D21" s="59">
        <f>dados_comercio!D19</f>
        <v>43191</v>
      </c>
      <c r="E21" s="60">
        <f>dados_comercio!E19</f>
        <v>90.8</v>
      </c>
      <c r="F21" s="60">
        <f>dados_comercio!F19</f>
        <v>81.8</v>
      </c>
      <c r="G21" s="60">
        <f>dados_comercio!G19</f>
        <v>58.6</v>
      </c>
      <c r="H21" s="60">
        <f>dados_comercio!H19</f>
        <v>86.5</v>
      </c>
      <c r="I21" s="60">
        <f>dados_comercio!I19</f>
        <v>85.1</v>
      </c>
      <c r="J21" s="60">
        <f>dados_comercio!J19</f>
        <v>68.599999999999994</v>
      </c>
      <c r="K21" s="60">
        <f>dados_comercio!K19</f>
        <v>70.5</v>
      </c>
      <c r="L21" s="60">
        <f>dados_comercio!L19</f>
        <v>68.3</v>
      </c>
      <c r="M21" s="60">
        <f>dados_comercio!M19</f>
        <v>69.7</v>
      </c>
      <c r="N21" s="60">
        <f>dados_comercio!N19</f>
        <v>108.6</v>
      </c>
      <c r="O21" s="60">
        <f>dados_comercio!O19</f>
        <v>50</v>
      </c>
      <c r="P21" s="60">
        <f>dados_comercio!P19</f>
        <v>79.099999999999994</v>
      </c>
      <c r="Q21" s="60">
        <f>dados_comercio!Q19</f>
        <v>84.2</v>
      </c>
      <c r="R21" s="60">
        <f>dados_comercio!R19</f>
        <v>71.900000000000006</v>
      </c>
      <c r="S21" s="78">
        <f>dados_comercio!S19</f>
        <v>79.3</v>
      </c>
    </row>
    <row r="22" spans="1:19" x14ac:dyDescent="0.25">
      <c r="A22" s="6" t="str">
        <f>dados_comercio!A20</f>
        <v>20185</v>
      </c>
      <c r="B22" s="6">
        <f>dados_comercio!B20</f>
        <v>2018</v>
      </c>
      <c r="C22" s="6">
        <f>dados_comercio!C20</f>
        <v>5</v>
      </c>
      <c r="D22" s="59">
        <f>dados_comercio!D20</f>
        <v>43221</v>
      </c>
      <c r="E22" s="60">
        <f>dados_comercio!E20</f>
        <v>88.4</v>
      </c>
      <c r="F22" s="60">
        <f>dados_comercio!F20</f>
        <v>87.1</v>
      </c>
      <c r="G22" s="60">
        <f>dados_comercio!G20</f>
        <v>62.6</v>
      </c>
      <c r="H22" s="60">
        <f>dados_comercio!H20</f>
        <v>89.9</v>
      </c>
      <c r="I22" s="60">
        <f>dados_comercio!I20</f>
        <v>90</v>
      </c>
      <c r="J22" s="60">
        <f>dados_comercio!J20</f>
        <v>77.5</v>
      </c>
      <c r="K22" s="60">
        <f>dados_comercio!K20</f>
        <v>73.8</v>
      </c>
      <c r="L22" s="60">
        <f>dados_comercio!L20</f>
        <v>61.4</v>
      </c>
      <c r="M22" s="60">
        <f>dados_comercio!M20</f>
        <v>76.2</v>
      </c>
      <c r="N22" s="60">
        <f>dados_comercio!N20</f>
        <v>112.1</v>
      </c>
      <c r="O22" s="60">
        <f>dados_comercio!O20</f>
        <v>49.3</v>
      </c>
      <c r="P22" s="60">
        <f>dados_comercio!P20</f>
        <v>113.1</v>
      </c>
      <c r="Q22" s="60">
        <f>dados_comercio!Q20</f>
        <v>95.4</v>
      </c>
      <c r="R22" s="60">
        <f>dados_comercio!R20</f>
        <v>76</v>
      </c>
      <c r="S22" s="78">
        <f>dados_comercio!S20</f>
        <v>75.599999999999994</v>
      </c>
    </row>
    <row r="23" spans="1:19" x14ac:dyDescent="0.25">
      <c r="A23" s="6" t="str">
        <f>dados_comercio!A21</f>
        <v>20186</v>
      </c>
      <c r="B23" s="6">
        <f>dados_comercio!B21</f>
        <v>2018</v>
      </c>
      <c r="C23" s="6">
        <f>dados_comercio!C21</f>
        <v>6</v>
      </c>
      <c r="D23" s="59">
        <f>dados_comercio!D21</f>
        <v>43252</v>
      </c>
      <c r="E23" s="60">
        <f>dados_comercio!E21</f>
        <v>87.6</v>
      </c>
      <c r="F23" s="60">
        <f>dados_comercio!F21</f>
        <v>83</v>
      </c>
      <c r="G23" s="60">
        <f>dados_comercio!G21</f>
        <v>51.9</v>
      </c>
      <c r="H23" s="60">
        <f>dados_comercio!H21</f>
        <v>85.2</v>
      </c>
      <c r="I23" s="60">
        <f>dados_comercio!I21</f>
        <v>83.8</v>
      </c>
      <c r="J23" s="60">
        <f>dados_comercio!J21</f>
        <v>77.900000000000006</v>
      </c>
      <c r="K23" s="60">
        <f>dados_comercio!K21</f>
        <v>70.2</v>
      </c>
      <c r="L23" s="60">
        <f>dados_comercio!L21</f>
        <v>60.3</v>
      </c>
      <c r="M23" s="60">
        <f>dados_comercio!M21</f>
        <v>71.900000000000006</v>
      </c>
      <c r="N23" s="60">
        <f>dados_comercio!N21</f>
        <v>104.8</v>
      </c>
      <c r="O23" s="60">
        <f>dados_comercio!O21</f>
        <v>48.7</v>
      </c>
      <c r="P23" s="60">
        <f>dados_comercio!P21</f>
        <v>84</v>
      </c>
      <c r="Q23" s="60">
        <f>dados_comercio!Q21</f>
        <v>96.8</v>
      </c>
      <c r="R23" s="60">
        <f>dados_comercio!R21</f>
        <v>71.400000000000006</v>
      </c>
      <c r="S23" s="78">
        <f>dados_comercio!S21</f>
        <v>75.900000000000006</v>
      </c>
    </row>
    <row r="24" spans="1:19" x14ac:dyDescent="0.25">
      <c r="A24" s="6" t="str">
        <f>dados_comercio!A22</f>
        <v>20187</v>
      </c>
      <c r="B24" s="6">
        <f>dados_comercio!B22</f>
        <v>2018</v>
      </c>
      <c r="C24" s="6">
        <f>dados_comercio!C22</f>
        <v>7</v>
      </c>
      <c r="D24" s="59">
        <f>dados_comercio!D22</f>
        <v>43282</v>
      </c>
      <c r="E24" s="60">
        <f>dados_comercio!E22</f>
        <v>87.2</v>
      </c>
      <c r="F24" s="60">
        <f>dados_comercio!F22</f>
        <v>82.7</v>
      </c>
      <c r="G24" s="60">
        <f>dados_comercio!G22</f>
        <v>55.2</v>
      </c>
      <c r="H24" s="60">
        <f>dados_comercio!H22</f>
        <v>89.2</v>
      </c>
      <c r="I24" s="60">
        <f>dados_comercio!I22</f>
        <v>86.7</v>
      </c>
      <c r="J24" s="60">
        <f>dados_comercio!J22</f>
        <v>75.900000000000006</v>
      </c>
      <c r="K24" s="60">
        <f>dados_comercio!K22</f>
        <v>66.2</v>
      </c>
      <c r="L24" s="60">
        <f>dados_comercio!L22</f>
        <v>60.4</v>
      </c>
      <c r="M24" s="60">
        <f>dados_comercio!M22</f>
        <v>66.5</v>
      </c>
      <c r="N24" s="60">
        <f>dados_comercio!N22</f>
        <v>105</v>
      </c>
      <c r="O24" s="60">
        <f>dados_comercio!O22</f>
        <v>47.4</v>
      </c>
      <c r="P24" s="60">
        <f>dados_comercio!P22</f>
        <v>77.900000000000006</v>
      </c>
      <c r="Q24" s="60">
        <f>dados_comercio!Q22</f>
        <v>84.2</v>
      </c>
      <c r="R24" s="60">
        <f>dados_comercio!R22</f>
        <v>69.900000000000006</v>
      </c>
      <c r="S24" s="78">
        <f>dados_comercio!S22</f>
        <v>79.8</v>
      </c>
    </row>
    <row r="25" spans="1:19" x14ac:dyDescent="0.25">
      <c r="A25" s="6" t="str">
        <f>dados_comercio!A23</f>
        <v>20188</v>
      </c>
      <c r="B25" s="6">
        <f>dados_comercio!B23</f>
        <v>2018</v>
      </c>
      <c r="C25" s="6">
        <f>dados_comercio!C23</f>
        <v>8</v>
      </c>
      <c r="D25" s="59">
        <f>dados_comercio!D23</f>
        <v>43313</v>
      </c>
      <c r="E25" s="60">
        <f>dados_comercio!E23</f>
        <v>88.1</v>
      </c>
      <c r="F25" s="60">
        <f>dados_comercio!F23</f>
        <v>88.2</v>
      </c>
      <c r="G25" s="60">
        <f>dados_comercio!G23</f>
        <v>56</v>
      </c>
      <c r="H25" s="60">
        <f>dados_comercio!H23</f>
        <v>93.5</v>
      </c>
      <c r="I25" s="60">
        <f>dados_comercio!I23</f>
        <v>91.5</v>
      </c>
      <c r="J25" s="60">
        <f>dados_comercio!J23</f>
        <v>81.2</v>
      </c>
      <c r="K25" s="60">
        <f>dados_comercio!K23</f>
        <v>70.8</v>
      </c>
      <c r="L25" s="60">
        <f>dados_comercio!L23</f>
        <v>65.8</v>
      </c>
      <c r="M25" s="60">
        <f>dados_comercio!M23</f>
        <v>70.900000000000006</v>
      </c>
      <c r="N25" s="60">
        <f>dados_comercio!N23</f>
        <v>113.3</v>
      </c>
      <c r="O25" s="60">
        <f>dados_comercio!O23</f>
        <v>54.5</v>
      </c>
      <c r="P25" s="60">
        <f>dados_comercio!P23</f>
        <v>90.6</v>
      </c>
      <c r="Q25" s="60">
        <f>dados_comercio!Q23</f>
        <v>94.9</v>
      </c>
      <c r="R25" s="60">
        <f>dados_comercio!R23</f>
        <v>88.4</v>
      </c>
      <c r="S25" s="78">
        <f>dados_comercio!S23</f>
        <v>85.2</v>
      </c>
    </row>
    <row r="26" spans="1:19" x14ac:dyDescent="0.25">
      <c r="A26" s="6" t="str">
        <f>dados_comercio!A24</f>
        <v>20189</v>
      </c>
      <c r="B26" s="6">
        <f>dados_comercio!B24</f>
        <v>2018</v>
      </c>
      <c r="C26" s="6">
        <f>dados_comercio!C24</f>
        <v>9</v>
      </c>
      <c r="D26" s="59">
        <f>dados_comercio!D24</f>
        <v>43344</v>
      </c>
      <c r="E26" s="60">
        <f>dados_comercio!E24</f>
        <v>86.8</v>
      </c>
      <c r="F26" s="60">
        <f>dados_comercio!F24</f>
        <v>83.2</v>
      </c>
      <c r="G26" s="60">
        <f>dados_comercio!G24</f>
        <v>55.9</v>
      </c>
      <c r="H26" s="60">
        <f>dados_comercio!H24</f>
        <v>89.3</v>
      </c>
      <c r="I26" s="60">
        <f>dados_comercio!I24</f>
        <v>86.9</v>
      </c>
      <c r="J26" s="60">
        <f>dados_comercio!J24</f>
        <v>72.7</v>
      </c>
      <c r="K26" s="60">
        <f>dados_comercio!K24</f>
        <v>67.2</v>
      </c>
      <c r="L26" s="60">
        <f>dados_comercio!L24</f>
        <v>60.3</v>
      </c>
      <c r="M26" s="60">
        <f>dados_comercio!M24</f>
        <v>68</v>
      </c>
      <c r="N26" s="60">
        <f>dados_comercio!N24</f>
        <v>105.3</v>
      </c>
      <c r="O26" s="60">
        <f>dados_comercio!O24</f>
        <v>45.9</v>
      </c>
      <c r="P26" s="60">
        <f>dados_comercio!P24</f>
        <v>74.400000000000006</v>
      </c>
      <c r="Q26" s="60">
        <f>dados_comercio!Q24</f>
        <v>88.7</v>
      </c>
      <c r="R26" s="60">
        <f>dados_comercio!R24</f>
        <v>73.3</v>
      </c>
      <c r="S26" s="78">
        <f>dados_comercio!S24</f>
        <v>78.099999999999994</v>
      </c>
    </row>
    <row r="27" spans="1:19" x14ac:dyDescent="0.25">
      <c r="A27" s="6" t="str">
        <f>dados_comercio!A25</f>
        <v>201810</v>
      </c>
      <c r="B27" s="6">
        <f>dados_comercio!B25</f>
        <v>2018</v>
      </c>
      <c r="C27" s="6">
        <f>dados_comercio!C25</f>
        <v>10</v>
      </c>
      <c r="D27" s="59">
        <f>dados_comercio!D25</f>
        <v>43374</v>
      </c>
      <c r="E27" s="60">
        <f>dados_comercio!E25</f>
        <v>86.5</v>
      </c>
      <c r="F27" s="60">
        <f>dados_comercio!F25</f>
        <v>86.6</v>
      </c>
      <c r="G27" s="60">
        <f>dados_comercio!G25</f>
        <v>59.3</v>
      </c>
      <c r="H27" s="60">
        <f>dados_comercio!H25</f>
        <v>93.1</v>
      </c>
      <c r="I27" s="60">
        <f>dados_comercio!I25</f>
        <v>92.4</v>
      </c>
      <c r="J27" s="60">
        <f>dados_comercio!J25</f>
        <v>74.5</v>
      </c>
      <c r="K27" s="60">
        <f>dados_comercio!K25</f>
        <v>69.400000000000006</v>
      </c>
      <c r="L27" s="60">
        <f>dados_comercio!L25</f>
        <v>63.7</v>
      </c>
      <c r="M27" s="60">
        <f>dados_comercio!M25</f>
        <v>69.7</v>
      </c>
      <c r="N27" s="60">
        <f>dados_comercio!N25</f>
        <v>109.5</v>
      </c>
      <c r="O27" s="60">
        <f>dados_comercio!O25</f>
        <v>55.1</v>
      </c>
      <c r="P27" s="60">
        <f>dados_comercio!P25</f>
        <v>84.3</v>
      </c>
      <c r="Q27" s="60">
        <f>dados_comercio!Q25</f>
        <v>91.1</v>
      </c>
      <c r="R27" s="60">
        <f>dados_comercio!R25</f>
        <v>88.1</v>
      </c>
      <c r="S27" s="78">
        <f>dados_comercio!S25</f>
        <v>82.3</v>
      </c>
    </row>
    <row r="28" spans="1:19" x14ac:dyDescent="0.25">
      <c r="A28" s="6" t="str">
        <f>dados_comercio!A26</f>
        <v>201811</v>
      </c>
      <c r="B28" s="6">
        <f>dados_comercio!B26</f>
        <v>2018</v>
      </c>
      <c r="C28" s="6">
        <f>dados_comercio!C26</f>
        <v>11</v>
      </c>
      <c r="D28" s="59">
        <f>dados_comercio!D26</f>
        <v>43405</v>
      </c>
      <c r="E28" s="60">
        <f>dados_comercio!E26</f>
        <v>90.9</v>
      </c>
      <c r="F28" s="60">
        <f>dados_comercio!F26</f>
        <v>95.2</v>
      </c>
      <c r="G28" s="60">
        <f>dados_comercio!G26</f>
        <v>60.2</v>
      </c>
      <c r="H28" s="60">
        <f>dados_comercio!H26</f>
        <v>90.6</v>
      </c>
      <c r="I28" s="60">
        <f>dados_comercio!I26</f>
        <v>91.2</v>
      </c>
      <c r="J28" s="60">
        <f>dados_comercio!J26</f>
        <v>84.9</v>
      </c>
      <c r="K28" s="60">
        <f>dados_comercio!K26</f>
        <v>97</v>
      </c>
      <c r="L28" s="60">
        <f>dados_comercio!L26</f>
        <v>83.1</v>
      </c>
      <c r="M28" s="60">
        <f>dados_comercio!M26</f>
        <v>99.5</v>
      </c>
      <c r="N28" s="60">
        <f>dados_comercio!N26</f>
        <v>107.9</v>
      </c>
      <c r="O28" s="60">
        <f>dados_comercio!O26</f>
        <v>48.5</v>
      </c>
      <c r="P28" s="60">
        <f>dados_comercio!P26</f>
        <v>100.8</v>
      </c>
      <c r="Q28" s="60">
        <f>dados_comercio!Q26</f>
        <v>134.5</v>
      </c>
      <c r="R28" s="60">
        <f>dados_comercio!R26</f>
        <v>84.6</v>
      </c>
      <c r="S28" s="78">
        <f>dados_comercio!S26</f>
        <v>84.2</v>
      </c>
    </row>
    <row r="29" spans="1:19" x14ac:dyDescent="0.25">
      <c r="A29" s="6" t="str">
        <f>dados_comercio!A27</f>
        <v>201812</v>
      </c>
      <c r="B29" s="6">
        <f>dados_comercio!B27</f>
        <v>2018</v>
      </c>
      <c r="C29" s="6">
        <f>dados_comercio!C27</f>
        <v>12</v>
      </c>
      <c r="D29" s="59">
        <f>dados_comercio!D27</f>
        <v>43435</v>
      </c>
      <c r="E29" s="60">
        <f>dados_comercio!E27</f>
        <v>87.4</v>
      </c>
      <c r="F29" s="60">
        <f>dados_comercio!F27</f>
        <v>115.9</v>
      </c>
      <c r="G29" s="60">
        <f>dados_comercio!G27</f>
        <v>67.7</v>
      </c>
      <c r="H29" s="60">
        <f>dados_comercio!H27</f>
        <v>113.8</v>
      </c>
      <c r="I29" s="60">
        <f>dados_comercio!I27</f>
        <v>114.5</v>
      </c>
      <c r="J29" s="60">
        <f>dados_comercio!J27</f>
        <v>142.30000000000001</v>
      </c>
      <c r="K29" s="60">
        <f>dados_comercio!K27</f>
        <v>101.8</v>
      </c>
      <c r="L29" s="60">
        <f>dados_comercio!L27</f>
        <v>91.3</v>
      </c>
      <c r="M29" s="60">
        <f>dados_comercio!M27</f>
        <v>103.1</v>
      </c>
      <c r="N29" s="60">
        <f>dados_comercio!N27</f>
        <v>119.1</v>
      </c>
      <c r="O29" s="60">
        <f>dados_comercio!O27</f>
        <v>84.3</v>
      </c>
      <c r="P29" s="60">
        <f>dados_comercio!P27</f>
        <v>135.6</v>
      </c>
      <c r="Q29" s="60">
        <f>dados_comercio!Q27</f>
        <v>142.80000000000001</v>
      </c>
      <c r="R29" s="60">
        <f>dados_comercio!R27</f>
        <v>75</v>
      </c>
      <c r="S29" s="78">
        <f>dados_comercio!S27</f>
        <v>79.7</v>
      </c>
    </row>
    <row r="30" spans="1:19" x14ac:dyDescent="0.25">
      <c r="A30" s="6" t="str">
        <f>dados_comercio!A28</f>
        <v>20191</v>
      </c>
      <c r="B30" s="6">
        <f>dados_comercio!B28</f>
        <v>2019</v>
      </c>
      <c r="C30" s="6">
        <f>dados_comercio!C28</f>
        <v>1</v>
      </c>
      <c r="D30" s="59">
        <f>dados_comercio!D28</f>
        <v>43466</v>
      </c>
      <c r="E30" s="60">
        <f>dados_comercio!E28</f>
        <v>87.6</v>
      </c>
      <c r="F30" s="60">
        <f>dados_comercio!F28</f>
        <v>84.7</v>
      </c>
      <c r="G30" s="60">
        <f>dados_comercio!G28</f>
        <v>60.2</v>
      </c>
      <c r="H30" s="60">
        <f>dados_comercio!H28</f>
        <v>89.1</v>
      </c>
      <c r="I30" s="60">
        <f>dados_comercio!I28</f>
        <v>88.1</v>
      </c>
      <c r="J30" s="60">
        <f>dados_comercio!J28</f>
        <v>66.900000000000006</v>
      </c>
      <c r="K30" s="60">
        <f>dados_comercio!K28</f>
        <v>77.5</v>
      </c>
      <c r="L30" s="60">
        <f>dados_comercio!L28</f>
        <v>66</v>
      </c>
      <c r="M30" s="60">
        <f>dados_comercio!M28</f>
        <v>79.599999999999994</v>
      </c>
      <c r="N30" s="60">
        <f>dados_comercio!N28</f>
        <v>109</v>
      </c>
      <c r="O30" s="60">
        <f>dados_comercio!O28</f>
        <v>104.5</v>
      </c>
      <c r="P30" s="60">
        <f>dados_comercio!P28</f>
        <v>92.1</v>
      </c>
      <c r="Q30" s="60">
        <f>dados_comercio!Q28</f>
        <v>86.2</v>
      </c>
      <c r="R30" s="60">
        <f>dados_comercio!R28</f>
        <v>90</v>
      </c>
      <c r="S30" s="78">
        <f>dados_comercio!S28</f>
        <v>81.099999999999994</v>
      </c>
    </row>
    <row r="31" spans="1:19" x14ac:dyDescent="0.25">
      <c r="A31" s="6" t="str">
        <f>dados_comercio!A29</f>
        <v>20192</v>
      </c>
      <c r="B31" s="6">
        <f>dados_comercio!B29</f>
        <v>2019</v>
      </c>
      <c r="C31" s="6">
        <f>dados_comercio!C29</f>
        <v>2</v>
      </c>
      <c r="D31" s="59">
        <f>dados_comercio!D29</f>
        <v>43497</v>
      </c>
      <c r="E31" s="60">
        <f>dados_comercio!E29</f>
        <v>87.5</v>
      </c>
      <c r="F31" s="60">
        <f>dados_comercio!F29</f>
        <v>80.5</v>
      </c>
      <c r="G31" s="60">
        <f>dados_comercio!G29</f>
        <v>58.7</v>
      </c>
      <c r="H31" s="60">
        <f>dados_comercio!H29</f>
        <v>84.8</v>
      </c>
      <c r="I31" s="60">
        <f>dados_comercio!I29</f>
        <v>84.3</v>
      </c>
      <c r="J31" s="60">
        <f>dados_comercio!J29</f>
        <v>63.1</v>
      </c>
      <c r="K31" s="60">
        <f>dados_comercio!K29</f>
        <v>66.599999999999994</v>
      </c>
      <c r="L31" s="60">
        <f>dados_comercio!L29</f>
        <v>63.5</v>
      </c>
      <c r="M31" s="60">
        <f>dados_comercio!M29</f>
        <v>66.5</v>
      </c>
      <c r="N31" s="60">
        <f>dados_comercio!N29</f>
        <v>102.5</v>
      </c>
      <c r="O31" s="60">
        <f>dados_comercio!O29</f>
        <v>97.9</v>
      </c>
      <c r="P31" s="60">
        <f>dados_comercio!P29</f>
        <v>138.19999999999999</v>
      </c>
      <c r="Q31" s="60">
        <f>dados_comercio!Q29</f>
        <v>83.1</v>
      </c>
      <c r="R31" s="60">
        <f>dados_comercio!R29</f>
        <v>77.900000000000006</v>
      </c>
      <c r="S31" s="78">
        <f>dados_comercio!S29</f>
        <v>71</v>
      </c>
    </row>
    <row r="32" spans="1:19" x14ac:dyDescent="0.25">
      <c r="A32" s="6" t="str">
        <f>dados_comercio!A30</f>
        <v>20193</v>
      </c>
      <c r="B32" s="6">
        <f>dados_comercio!B30</f>
        <v>2019</v>
      </c>
      <c r="C32" s="6">
        <f>dados_comercio!C30</f>
        <v>3</v>
      </c>
      <c r="D32" s="59">
        <f>dados_comercio!D30</f>
        <v>43525</v>
      </c>
      <c r="E32" s="60">
        <f>dados_comercio!E30</f>
        <v>89.6</v>
      </c>
      <c r="F32" s="60">
        <f>dados_comercio!F30</f>
        <v>85</v>
      </c>
      <c r="G32" s="60">
        <f>dados_comercio!G30</f>
        <v>61.7</v>
      </c>
      <c r="H32" s="60">
        <f>dados_comercio!H30</f>
        <v>90.4</v>
      </c>
      <c r="I32" s="60">
        <f>dados_comercio!I30</f>
        <v>91.1</v>
      </c>
      <c r="J32" s="60">
        <f>dados_comercio!J30</f>
        <v>64.2</v>
      </c>
      <c r="K32" s="60">
        <f>dados_comercio!K30</f>
        <v>70</v>
      </c>
      <c r="L32" s="60">
        <f>dados_comercio!L30</f>
        <v>57.8</v>
      </c>
      <c r="M32" s="60">
        <f>dados_comercio!M30</f>
        <v>72.599999999999994</v>
      </c>
      <c r="N32" s="60">
        <f>dados_comercio!N30</f>
        <v>109.4</v>
      </c>
      <c r="O32" s="60">
        <f>dados_comercio!O30</f>
        <v>46.8</v>
      </c>
      <c r="P32" s="60">
        <f>dados_comercio!P30</f>
        <v>103.9</v>
      </c>
      <c r="Q32" s="60">
        <f>dados_comercio!Q30</f>
        <v>93.9</v>
      </c>
      <c r="R32" s="60">
        <f>dados_comercio!R30</f>
        <v>73.599999999999994</v>
      </c>
      <c r="S32" s="78">
        <f>dados_comercio!S30</f>
        <v>67</v>
      </c>
    </row>
    <row r="33" spans="1:19" x14ac:dyDescent="0.25">
      <c r="A33" s="6" t="str">
        <f>dados_comercio!A31</f>
        <v>20194</v>
      </c>
      <c r="B33" s="6">
        <f>dados_comercio!B31</f>
        <v>2019</v>
      </c>
      <c r="C33" s="6">
        <f>dados_comercio!C31</f>
        <v>4</v>
      </c>
      <c r="D33" s="59">
        <f>dados_comercio!D31</f>
        <v>43556</v>
      </c>
      <c r="E33" s="60">
        <f>dados_comercio!E31</f>
        <v>87.1</v>
      </c>
      <c r="F33" s="60">
        <f>dados_comercio!F31</f>
        <v>81.599999999999994</v>
      </c>
      <c r="G33" s="60">
        <f>dados_comercio!G31</f>
        <v>58.9</v>
      </c>
      <c r="H33" s="60">
        <f>dados_comercio!H31</f>
        <v>85.6</v>
      </c>
      <c r="I33" s="60">
        <f>dados_comercio!I31</f>
        <v>85.6</v>
      </c>
      <c r="J33" s="60">
        <f>dados_comercio!J31</f>
        <v>65.8</v>
      </c>
      <c r="K33" s="60">
        <f>dados_comercio!K31</f>
        <v>65.099999999999994</v>
      </c>
      <c r="L33" s="60">
        <f>dados_comercio!L31</f>
        <v>56.6</v>
      </c>
      <c r="M33" s="60">
        <f>dados_comercio!M31</f>
        <v>66.7</v>
      </c>
      <c r="N33" s="60">
        <f>dados_comercio!N31</f>
        <v>106.7</v>
      </c>
      <c r="O33" s="60">
        <f>dados_comercio!O31</f>
        <v>41.8</v>
      </c>
      <c r="P33" s="60">
        <f>dados_comercio!P31</f>
        <v>91.4</v>
      </c>
      <c r="Q33" s="60">
        <f>dados_comercio!Q31</f>
        <v>92.7</v>
      </c>
      <c r="R33" s="60">
        <f>dados_comercio!R31</f>
        <v>82.8</v>
      </c>
      <c r="S33" s="78">
        <f>dados_comercio!S31</f>
        <v>72.099999999999994</v>
      </c>
    </row>
    <row r="34" spans="1:19" x14ac:dyDescent="0.25">
      <c r="A34" s="6" t="str">
        <f>dados_comercio!A32</f>
        <v>20195</v>
      </c>
      <c r="B34" s="6">
        <f>dados_comercio!B32</f>
        <v>2019</v>
      </c>
      <c r="C34" s="6">
        <f>dados_comercio!C32</f>
        <v>5</v>
      </c>
      <c r="D34" s="59">
        <f>dados_comercio!D32</f>
        <v>43586</v>
      </c>
      <c r="E34" s="60">
        <f>dados_comercio!E32</f>
        <v>85.9</v>
      </c>
      <c r="F34" s="60">
        <f>dados_comercio!F32</f>
        <v>84.5</v>
      </c>
      <c r="G34" s="60">
        <f>dados_comercio!G32</f>
        <v>59.3</v>
      </c>
      <c r="H34" s="60">
        <f>dados_comercio!H32</f>
        <v>89.1</v>
      </c>
      <c r="I34" s="60">
        <f>dados_comercio!I32</f>
        <v>89.8</v>
      </c>
      <c r="J34" s="60">
        <f>dados_comercio!J32</f>
        <v>74.2</v>
      </c>
      <c r="K34" s="60">
        <f>dados_comercio!K32</f>
        <v>73.099999999999994</v>
      </c>
      <c r="L34" s="60">
        <f>dados_comercio!L32</f>
        <v>62.4</v>
      </c>
      <c r="M34" s="60">
        <f>dados_comercio!M32</f>
        <v>75.099999999999994</v>
      </c>
      <c r="N34" s="60">
        <f>dados_comercio!N32</f>
        <v>111.8</v>
      </c>
      <c r="O34" s="60">
        <f>dados_comercio!O32</f>
        <v>43.4</v>
      </c>
      <c r="P34" s="60">
        <f>dados_comercio!P32</f>
        <v>108.7</v>
      </c>
      <c r="Q34" s="60">
        <f>dados_comercio!Q32</f>
        <v>85.4</v>
      </c>
      <c r="R34" s="60">
        <f>dados_comercio!R32</f>
        <v>85.1</v>
      </c>
      <c r="S34" s="78">
        <f>dados_comercio!S32</f>
        <v>78</v>
      </c>
    </row>
    <row r="35" spans="1:19" x14ac:dyDescent="0.25">
      <c r="A35" s="6" t="str">
        <f>dados_comercio!A33</f>
        <v>20196</v>
      </c>
      <c r="B35" s="6">
        <f>dados_comercio!B33</f>
        <v>2019</v>
      </c>
      <c r="C35" s="6">
        <f>dados_comercio!C33</f>
        <v>6</v>
      </c>
      <c r="D35" s="59">
        <f>dados_comercio!D33</f>
        <v>43617</v>
      </c>
      <c r="E35" s="60">
        <f>dados_comercio!E33</f>
        <v>87.4</v>
      </c>
      <c r="F35" s="60">
        <f>dados_comercio!F33</f>
        <v>81.7</v>
      </c>
      <c r="G35" s="60">
        <f>dados_comercio!G33</f>
        <v>58.9</v>
      </c>
      <c r="H35" s="60">
        <f>dados_comercio!H33</f>
        <v>86.3</v>
      </c>
      <c r="I35" s="60">
        <f>dados_comercio!I33</f>
        <v>86.1</v>
      </c>
      <c r="J35" s="60">
        <f>dados_comercio!J33</f>
        <v>74</v>
      </c>
      <c r="K35" s="60">
        <f>dados_comercio!K33</f>
        <v>63.4</v>
      </c>
      <c r="L35" s="60">
        <f>dados_comercio!L33</f>
        <v>56.4</v>
      </c>
      <c r="M35" s="60">
        <f>dados_comercio!M33</f>
        <v>64.400000000000006</v>
      </c>
      <c r="N35" s="60">
        <f>dados_comercio!N33</f>
        <v>103.9</v>
      </c>
      <c r="O35" s="60">
        <f>dados_comercio!O33</f>
        <v>38.9</v>
      </c>
      <c r="P35" s="60">
        <f>dados_comercio!P33</f>
        <v>79</v>
      </c>
      <c r="Q35" s="60">
        <f>dados_comercio!Q33</f>
        <v>88.9</v>
      </c>
      <c r="R35" s="60">
        <f>dados_comercio!R33</f>
        <v>86.6</v>
      </c>
      <c r="S35" s="78">
        <f>dados_comercio!S33</f>
        <v>70.900000000000006</v>
      </c>
    </row>
    <row r="36" spans="1:19" x14ac:dyDescent="0.25">
      <c r="A36" s="6" t="str">
        <f>dados_comercio!A34</f>
        <v>20197</v>
      </c>
      <c r="B36" s="6">
        <f>dados_comercio!B34</f>
        <v>2019</v>
      </c>
      <c r="C36" s="6">
        <f>dados_comercio!C34</f>
        <v>7</v>
      </c>
      <c r="D36" s="59">
        <f>dados_comercio!D34</f>
        <v>43647</v>
      </c>
      <c r="E36" s="60">
        <f>dados_comercio!E34</f>
        <v>89.8</v>
      </c>
      <c r="F36" s="60">
        <f>dados_comercio!F34</f>
        <v>86.6</v>
      </c>
      <c r="G36" s="60">
        <f>dados_comercio!G34</f>
        <v>60.7</v>
      </c>
      <c r="H36" s="60">
        <f>dados_comercio!H34</f>
        <v>88.5</v>
      </c>
      <c r="I36" s="60">
        <f>dados_comercio!I34</f>
        <v>87.6</v>
      </c>
      <c r="J36" s="60">
        <f>dados_comercio!J34</f>
        <v>82</v>
      </c>
      <c r="K36" s="60">
        <f>dados_comercio!K34</f>
        <v>81</v>
      </c>
      <c r="L36" s="60">
        <f>dados_comercio!L34</f>
        <v>71.5</v>
      </c>
      <c r="M36" s="60">
        <f>dados_comercio!M34</f>
        <v>82.6</v>
      </c>
      <c r="N36" s="60">
        <f>dados_comercio!N34</f>
        <v>114.6</v>
      </c>
      <c r="O36" s="60">
        <f>dados_comercio!O34</f>
        <v>44.3</v>
      </c>
      <c r="P36" s="60">
        <f>dados_comercio!P34</f>
        <v>80.099999999999994</v>
      </c>
      <c r="Q36" s="60">
        <f>dados_comercio!Q34</f>
        <v>90.6</v>
      </c>
      <c r="R36" s="60">
        <f>dados_comercio!R34</f>
        <v>95.2</v>
      </c>
      <c r="S36" s="78">
        <f>dados_comercio!S34</f>
        <v>83.7</v>
      </c>
    </row>
    <row r="37" spans="1:19" x14ac:dyDescent="0.25">
      <c r="A37" s="6"/>
      <c r="B37" s="6"/>
      <c r="C37" s="6"/>
      <c r="D37" s="59">
        <f>dados_comercio!D35</f>
        <v>43678</v>
      </c>
      <c r="E37" s="60">
        <f>dados_comercio!E35</f>
        <v>88.1</v>
      </c>
      <c r="F37" s="60">
        <f>dados_comercio!F35</f>
        <v>88.7</v>
      </c>
      <c r="G37" s="60">
        <f>dados_comercio!G35</f>
        <v>61.7</v>
      </c>
      <c r="H37" s="60">
        <f>dados_comercio!H35</f>
        <v>94.1</v>
      </c>
      <c r="I37" s="60">
        <f>dados_comercio!I35</f>
        <v>92.8</v>
      </c>
      <c r="J37" s="60">
        <f>dados_comercio!J35</f>
        <v>76</v>
      </c>
      <c r="K37" s="60">
        <f>dados_comercio!K35</f>
        <v>68.5</v>
      </c>
      <c r="L37" s="60">
        <f>dados_comercio!L35</f>
        <v>67.099999999999994</v>
      </c>
      <c r="M37" s="60">
        <f>dados_comercio!M35</f>
        <v>68</v>
      </c>
      <c r="N37" s="60">
        <f>dados_comercio!N35</f>
        <v>114.6</v>
      </c>
      <c r="O37" s="60">
        <f>dados_comercio!O35</f>
        <v>45.2</v>
      </c>
      <c r="P37" s="60">
        <f>dados_comercio!P35</f>
        <v>80.8</v>
      </c>
      <c r="Q37" s="60">
        <f>dados_comercio!Q35</f>
        <v>98.8</v>
      </c>
      <c r="R37" s="60">
        <f>dados_comercio!R35</f>
        <v>82.9</v>
      </c>
      <c r="S37" s="78">
        <f>dados_comercio!S35</f>
        <v>77.3</v>
      </c>
    </row>
    <row r="38" spans="1:19" x14ac:dyDescent="0.25">
      <c r="A38" s="6"/>
      <c r="B38" s="6"/>
      <c r="C38" s="6"/>
      <c r="D38" s="59">
        <f>dados_comercio!D36</f>
        <v>43709</v>
      </c>
      <c r="E38" s="60">
        <f>dados_comercio!E36</f>
        <v>88.6</v>
      </c>
      <c r="F38" s="60">
        <f>dados_comercio!F36</f>
        <v>84.2</v>
      </c>
      <c r="G38" s="60">
        <f>dados_comercio!G36</f>
        <v>60.8</v>
      </c>
      <c r="H38" s="60">
        <f>dados_comercio!H36</f>
        <v>87.2</v>
      </c>
      <c r="I38" s="60">
        <f>dados_comercio!I36</f>
        <v>85.3</v>
      </c>
      <c r="J38" s="60">
        <f>dados_comercio!J36</f>
        <v>69.5</v>
      </c>
      <c r="K38" s="60">
        <f>dados_comercio!K36</f>
        <v>74.2</v>
      </c>
      <c r="L38" s="60">
        <f>dados_comercio!L36</f>
        <v>65.400000000000006</v>
      </c>
      <c r="M38" s="60">
        <f>dados_comercio!M36</f>
        <v>75.7</v>
      </c>
      <c r="N38" s="60">
        <f>dados_comercio!N36</f>
        <v>109.3</v>
      </c>
      <c r="O38" s="60">
        <f>dados_comercio!O36</f>
        <v>37.9</v>
      </c>
      <c r="P38" s="60">
        <f>dados_comercio!P36</f>
        <v>85.3</v>
      </c>
      <c r="Q38" s="60">
        <f>dados_comercio!Q36</f>
        <v>94.9</v>
      </c>
      <c r="R38" s="60">
        <f>dados_comercio!R36</f>
        <v>79.5</v>
      </c>
      <c r="S38" s="78">
        <f>dados_comercio!S36</f>
        <v>74.8</v>
      </c>
    </row>
    <row r="39" spans="1:19" x14ac:dyDescent="0.25">
      <c r="A39" s="6"/>
      <c r="B39" s="6"/>
      <c r="C39" s="6"/>
      <c r="D39" s="59">
        <f>dados_comercio!D37</f>
        <v>43739</v>
      </c>
      <c r="E39" s="60">
        <f>dados_comercio!E37</f>
        <v>88.2</v>
      </c>
      <c r="F39" s="60">
        <f>dados_comercio!F37</f>
        <v>88.2</v>
      </c>
      <c r="G39" s="60">
        <f>dados_comercio!G37</f>
        <v>63.6</v>
      </c>
      <c r="H39" s="60">
        <f>dados_comercio!H37</f>
        <v>92.8</v>
      </c>
      <c r="I39" s="60">
        <f>dados_comercio!I37</f>
        <v>91.8</v>
      </c>
      <c r="J39" s="60">
        <f>dados_comercio!J37</f>
        <v>71.900000000000006</v>
      </c>
      <c r="K39" s="60">
        <f>dados_comercio!K37</f>
        <v>74</v>
      </c>
      <c r="L39" s="60">
        <f>dados_comercio!L37</f>
        <v>59.5</v>
      </c>
      <c r="M39" s="60">
        <f>dados_comercio!M37</f>
        <v>77.2</v>
      </c>
      <c r="N39" s="60">
        <f>dados_comercio!N37</f>
        <v>113.8</v>
      </c>
      <c r="O39" s="60">
        <f>dados_comercio!O37</f>
        <v>45.3</v>
      </c>
      <c r="P39" s="60">
        <f>dados_comercio!P37</f>
        <v>121.3</v>
      </c>
      <c r="Q39" s="60">
        <f>dados_comercio!Q37</f>
        <v>95.5</v>
      </c>
      <c r="R39" s="60">
        <f>dados_comercio!R37</f>
        <v>81.8</v>
      </c>
      <c r="S39" s="78">
        <f>dados_comercio!S37</f>
        <v>83.4</v>
      </c>
    </row>
    <row r="40" spans="1:19" x14ac:dyDescent="0.25">
      <c r="A40" s="6"/>
      <c r="B40" s="6"/>
      <c r="C40" s="6"/>
      <c r="D40" s="59">
        <f>dados_comercio!D38</f>
        <v>43770</v>
      </c>
      <c r="E40" s="60">
        <f>dados_comercio!E38</f>
        <v>89.3</v>
      </c>
      <c r="F40" s="60">
        <f>dados_comercio!F38</f>
        <v>94.8</v>
      </c>
      <c r="G40" s="60">
        <f>dados_comercio!G38</f>
        <v>61.5</v>
      </c>
      <c r="H40" s="60">
        <f>dados_comercio!H38</f>
        <v>94.2</v>
      </c>
      <c r="I40" s="60">
        <f>dados_comercio!I38</f>
        <v>93.1</v>
      </c>
      <c r="J40" s="60">
        <f>dados_comercio!J38</f>
        <v>85.2</v>
      </c>
      <c r="K40" s="60">
        <f>dados_comercio!K38</f>
        <v>92.1</v>
      </c>
      <c r="L40" s="60">
        <f>dados_comercio!L38</f>
        <v>69.400000000000006</v>
      </c>
      <c r="M40" s="60">
        <f>dados_comercio!M38</f>
        <v>97.7</v>
      </c>
      <c r="N40" s="60">
        <f>dados_comercio!N38</f>
        <v>112.3</v>
      </c>
      <c r="O40" s="60">
        <f>dados_comercio!O38</f>
        <v>43.9</v>
      </c>
      <c r="P40" s="60">
        <f>dados_comercio!P38</f>
        <v>122.6</v>
      </c>
      <c r="Q40" s="60">
        <f>dados_comercio!Q38</f>
        <v>117.7</v>
      </c>
      <c r="R40" s="60">
        <f>dados_comercio!R38</f>
        <v>88.8</v>
      </c>
      <c r="S40" s="78">
        <f>dados_comercio!S38</f>
        <v>82.7</v>
      </c>
    </row>
    <row r="41" spans="1:19" x14ac:dyDescent="0.25">
      <c r="A41" s="6"/>
      <c r="B41" s="6"/>
      <c r="C41" s="6"/>
      <c r="D41" s="59">
        <f>dados_comercio!D39</f>
        <v>43800</v>
      </c>
      <c r="E41" s="60">
        <f>dados_comercio!E39</f>
        <v>91.3</v>
      </c>
      <c r="F41" s="60">
        <f>dados_comercio!F39</f>
        <v>120.6</v>
      </c>
      <c r="G41" s="60">
        <f>dados_comercio!G39</f>
        <v>66.8</v>
      </c>
      <c r="H41" s="60">
        <f>dados_comercio!H39</f>
        <v>111.6</v>
      </c>
      <c r="I41" s="60">
        <f>dados_comercio!I39</f>
        <v>110</v>
      </c>
      <c r="J41" s="60">
        <f>dados_comercio!J39</f>
        <v>137.80000000000001</v>
      </c>
      <c r="K41" s="60">
        <f>dados_comercio!K39</f>
        <v>118.7</v>
      </c>
      <c r="L41" s="60">
        <f>dados_comercio!L39</f>
        <v>99.7</v>
      </c>
      <c r="M41" s="60">
        <f>dados_comercio!M39</f>
        <v>122.8</v>
      </c>
      <c r="N41" s="60">
        <f>dados_comercio!N39</f>
        <v>118</v>
      </c>
      <c r="O41" s="60">
        <f>dados_comercio!O39</f>
        <v>78.099999999999994</v>
      </c>
      <c r="P41" s="60">
        <f>dados_comercio!P39</f>
        <v>141.69999999999999</v>
      </c>
      <c r="Q41" s="60">
        <f>dados_comercio!Q39</f>
        <v>176.7</v>
      </c>
      <c r="R41" s="60">
        <f>dados_comercio!R39</f>
        <v>79.099999999999994</v>
      </c>
      <c r="S41" s="78">
        <f>dados_comercio!S39</f>
        <v>73.900000000000006</v>
      </c>
    </row>
    <row r="42" spans="1:19" ht="15.75" thickBot="1" x14ac:dyDescent="0.3">
      <c r="A42" s="6"/>
      <c r="B42" s="6"/>
      <c r="C42" s="6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79"/>
    </row>
    <row r="43" spans="1:19" x14ac:dyDescent="0.25">
      <c r="D43" s="11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</row>
    <row r="44" spans="1:19" s="65" customFormat="1" ht="42.75" customHeight="1" x14ac:dyDescent="0.25">
      <c r="D44" s="14" t="str">
        <f>CONCATENATE("Variação do mês de ",(TEXT(D52,"MMMM"))&amp;" de "&amp;YEAR(D52)&amp;" /  mês anterior")</f>
        <v>Variação do mês de dezembro de 2019 /  mês anterior</v>
      </c>
      <c r="E44" s="15">
        <f>IFERROR((E56-E57)/E57 * 100,"-")</f>
        <v>2.2396416573348263</v>
      </c>
      <c r="F44" s="15">
        <f t="shared" ref="F44:S44" si="0">IFERROR((F56-F57)/F57 * 100,"-")</f>
        <v>27.215189873417717</v>
      </c>
      <c r="G44" s="15">
        <f t="shared" si="0"/>
        <v>8.6178861788617827</v>
      </c>
      <c r="H44" s="15">
        <f t="shared" si="0"/>
        <v>18.471337579617824</v>
      </c>
      <c r="I44" s="15">
        <f t="shared" si="0"/>
        <v>18.152524167561769</v>
      </c>
      <c r="J44" s="15">
        <f t="shared" si="0"/>
        <v>61.737089201877936</v>
      </c>
      <c r="K44" s="15">
        <f t="shared" si="0"/>
        <v>28.881650380021728</v>
      </c>
      <c r="L44" s="15">
        <f t="shared" si="0"/>
        <v>43.659942363112386</v>
      </c>
      <c r="M44" s="15">
        <f t="shared" si="0"/>
        <v>25.690890481064478</v>
      </c>
      <c r="N44" s="15">
        <f t="shared" si="0"/>
        <v>5.0756901157613559</v>
      </c>
      <c r="O44" s="15">
        <f t="shared" si="0"/>
        <v>77.904328018223225</v>
      </c>
      <c r="P44" s="15">
        <f t="shared" si="0"/>
        <v>15.579119086460027</v>
      </c>
      <c r="Q44" s="15">
        <f t="shared" si="0"/>
        <v>50.127442650807119</v>
      </c>
      <c r="R44" s="15">
        <f t="shared" si="0"/>
        <v>-10.923423423423428</v>
      </c>
      <c r="S44" s="16">
        <f t="shared" si="0"/>
        <v>-10.640870616686817</v>
      </c>
    </row>
    <row r="45" spans="1:19" s="65" customFormat="1" ht="51.75" customHeight="1" x14ac:dyDescent="0.25">
      <c r="D45" s="17" t="str">
        <f>CONCATENATE("Variação de "&amp;TEXT(D52,"MMMM")&amp;" de "&amp;YEAR(D52)&amp;" /  igual mês do ano anterior")</f>
        <v>Variação de dezembro de 2019 /  igual mês do ano anterior</v>
      </c>
      <c r="E45" s="15">
        <f>IFERROR((E56-E58)/E58*100,"-")</f>
        <v>4.4622425629290516</v>
      </c>
      <c r="F45" s="15">
        <f t="shared" ref="F45:S45" si="1">IFERROR((F56-F58)/F58*100,"-")</f>
        <v>4.0552200172562456</v>
      </c>
      <c r="G45" s="15">
        <f t="shared" si="1"/>
        <v>-1.3293943870014855</v>
      </c>
      <c r="H45" s="15">
        <f t="shared" si="1"/>
        <v>-1.9332161687170502</v>
      </c>
      <c r="I45" s="15">
        <f t="shared" si="1"/>
        <v>-3.9301310043668125</v>
      </c>
      <c r="J45" s="15">
        <f t="shared" si="1"/>
        <v>-3.1623330990864367</v>
      </c>
      <c r="K45" s="15">
        <f t="shared" si="1"/>
        <v>16.601178781925348</v>
      </c>
      <c r="L45" s="15">
        <f t="shared" si="1"/>
        <v>9.2004381161007736</v>
      </c>
      <c r="M45" s="15">
        <f t="shared" si="1"/>
        <v>19.107662463627552</v>
      </c>
      <c r="N45" s="15">
        <f t="shared" si="1"/>
        <v>-0.92359361880771984</v>
      </c>
      <c r="O45" s="15">
        <f t="shared" si="1"/>
        <v>-7.354685646500597</v>
      </c>
      <c r="P45" s="15">
        <f t="shared" si="1"/>
        <v>4.4985250737463085</v>
      </c>
      <c r="Q45" s="15">
        <f t="shared" si="1"/>
        <v>23.739495798319311</v>
      </c>
      <c r="R45" s="15">
        <f t="shared" si="1"/>
        <v>5.4666666666666597</v>
      </c>
      <c r="S45" s="16">
        <f t="shared" si="1"/>
        <v>-7.2772898368883272</v>
      </c>
    </row>
    <row r="46" spans="1:19" s="65" customFormat="1" ht="60.75" thickBot="1" x14ac:dyDescent="0.3">
      <c r="D46" s="18" t="str">
        <f>CONCATENATE("Variação acumulada no ano "&amp;YEAR(D52)," até "&amp;TEXT(D52,"MMMM")&amp;"/ igual período do ano anterior")</f>
        <v>Variação acumulada no ano 2019 até dezembro/ igual período do ano anterior</v>
      </c>
      <c r="E46" s="19">
        <f>IFERROR((E59-E60)/E60 * 100,"-")</f>
        <v>0.28371477208244489</v>
      </c>
      <c r="F46" s="19">
        <f t="shared" ref="F46:S46" si="2">IFERROR((F59-F60)/F60 * 100,"-")</f>
        <v>0.43539990534781647</v>
      </c>
      <c r="G46" s="19">
        <f t="shared" si="2"/>
        <v>3.8254463020685581</v>
      </c>
      <c r="H46" s="19">
        <f t="shared" si="2"/>
        <v>-0.30082041932542886</v>
      </c>
      <c r="I46" s="19">
        <f t="shared" si="2"/>
        <v>7.374631268434062E-2</v>
      </c>
      <c r="J46" s="19">
        <f t="shared" si="2"/>
        <v>-2.3504721930744874</v>
      </c>
      <c r="K46" s="19">
        <f t="shared" si="2"/>
        <v>1.8065653227583269</v>
      </c>
      <c r="L46" s="19">
        <f t="shared" si="2"/>
        <v>-1.596139569413509</v>
      </c>
      <c r="M46" s="19">
        <f t="shared" si="2"/>
        <v>3.1188871984351278</v>
      </c>
      <c r="N46" s="19">
        <f t="shared" si="2"/>
        <v>1.7106474378643721</v>
      </c>
      <c r="O46" s="19">
        <f t="shared" si="2"/>
        <v>-15.677859126483218</v>
      </c>
      <c r="P46" s="19">
        <f t="shared" si="2"/>
        <v>14.481426995218833</v>
      </c>
      <c r="Q46" s="19">
        <f t="shared" si="2"/>
        <v>1.4658803706824002</v>
      </c>
      <c r="R46" s="19">
        <f t="shared" si="2"/>
        <v>9.3276669935708867</v>
      </c>
      <c r="S46" s="20">
        <f t="shared" si="2"/>
        <v>-5.2353854112778198</v>
      </c>
    </row>
    <row r="47" spans="1:19" x14ac:dyDescent="0.25">
      <c r="D47" s="64" t="s">
        <v>43</v>
      </c>
      <c r="E47" s="63"/>
      <c r="F47" s="63"/>
      <c r="G47" s="63"/>
      <c r="H47" s="63"/>
    </row>
    <row r="48" spans="1:19" x14ac:dyDescent="0.25">
      <c r="D48" s="21" t="s">
        <v>1</v>
      </c>
      <c r="E48" s="22"/>
      <c r="F48" s="22"/>
      <c r="G48" s="22"/>
      <c r="H48" s="22"/>
    </row>
    <row r="49" spans="4:19" x14ac:dyDescent="0.25">
      <c r="D49" s="9"/>
      <c r="E49" s="23"/>
      <c r="F49" s="23"/>
      <c r="G49" s="23"/>
      <c r="H49" s="23"/>
    </row>
    <row r="50" spans="4:19" x14ac:dyDescent="0.25">
      <c r="D50" s="21"/>
      <c r="E50" s="23"/>
      <c r="F50" s="23"/>
      <c r="G50" s="23"/>
      <c r="H50" s="23"/>
    </row>
    <row r="51" spans="4:19" x14ac:dyDescent="0.25">
      <c r="D51" s="117" t="s">
        <v>11</v>
      </c>
      <c r="E51" s="118"/>
      <c r="F51" s="118"/>
      <c r="G51" s="118"/>
      <c r="H51" s="118"/>
    </row>
    <row r="52" spans="4:19" x14ac:dyDescent="0.25">
      <c r="D52" s="119">
        <v>43800</v>
      </c>
      <c r="E52" s="120"/>
      <c r="F52" s="120"/>
      <c r="G52" s="120"/>
      <c r="H52" s="120"/>
    </row>
    <row r="53" spans="4:19" x14ac:dyDescent="0.25">
      <c r="D53" s="24"/>
      <c r="E53" s="6"/>
      <c r="F53" s="6"/>
      <c r="G53" s="6"/>
      <c r="H53" s="6"/>
    </row>
    <row r="54" spans="4:19" hidden="1" x14ac:dyDescent="0.25">
      <c r="D54" s="24"/>
      <c r="E54" s="6"/>
      <c r="F54" s="6"/>
      <c r="G54" s="6"/>
      <c r="H54" s="6"/>
    </row>
    <row r="55" spans="4:19" hidden="1" x14ac:dyDescent="0.25">
      <c r="D55" s="24"/>
      <c r="E55" s="6"/>
      <c r="F55" s="6"/>
      <c r="G55" s="6"/>
      <c r="H55" s="6"/>
    </row>
    <row r="56" spans="4:19" s="6" customFormat="1" ht="11.25" hidden="1" x14ac:dyDescent="0.2">
      <c r="D56" s="54">
        <f>D52</f>
        <v>43800</v>
      </c>
      <c r="E56" s="55">
        <f>VLOOKUP(YEAR($D$56)&amp;MONTH($D$56),dados_comercio!$A$4:$Z$14962,5,FALSE)</f>
        <v>91.3</v>
      </c>
      <c r="F56" s="55">
        <f>VLOOKUP(YEAR($D$56)&amp;MONTH($D$56),dados_comercio!$A$4:$Z$14962,6,FALSE)</f>
        <v>120.6</v>
      </c>
      <c r="G56" s="55">
        <f>VLOOKUP(YEAR($D$56)&amp;MONTH($D$56),dados_comercio!$A$4:$Z$14962,7,FALSE)</f>
        <v>66.8</v>
      </c>
      <c r="H56" s="55">
        <f>VLOOKUP(YEAR($D$56)&amp;MONTH($D$56),dados_comercio!$A$4:$Z$14962,8,FALSE)</f>
        <v>111.6</v>
      </c>
      <c r="I56" s="55">
        <f>VLOOKUP(YEAR($D$56)&amp;MONTH($D$56),dados_comercio!$A$4:$Z$14962,9,FALSE)</f>
        <v>110</v>
      </c>
      <c r="J56" s="55">
        <f>VLOOKUP(YEAR($D$56)&amp;MONTH($D$56),dados_comercio!$A$4:$Z$14962,10,FALSE)</f>
        <v>137.80000000000001</v>
      </c>
      <c r="K56" s="55">
        <f>VLOOKUP(YEAR($D$56)&amp;MONTH($D$56),dados_comercio!$A$4:$Z$14962,11,FALSE)</f>
        <v>118.7</v>
      </c>
      <c r="L56" s="55">
        <f>VLOOKUP(YEAR($D$56)&amp;MONTH($D$56),dados_comercio!$A$4:$Z$14962,12,FALSE)</f>
        <v>99.7</v>
      </c>
      <c r="M56" s="55">
        <f>VLOOKUP(YEAR($D$56)&amp;MONTH($D$56),dados_comercio!$A$4:$Z$14962,13,FALSE)</f>
        <v>122.8</v>
      </c>
      <c r="N56" s="55">
        <f>VLOOKUP(YEAR($D$56)&amp;MONTH($D$56),dados_comercio!$A$4:$Z$14962,14,FALSE)</f>
        <v>118</v>
      </c>
      <c r="O56" s="55">
        <f>VLOOKUP(YEAR($D$56)&amp;MONTH($D$56),dados_comercio!$A$4:$Z$14962,15,FALSE)</f>
        <v>78.099999999999994</v>
      </c>
      <c r="P56" s="55">
        <f>VLOOKUP(YEAR($D$56)&amp;MONTH($D$56),dados_comercio!$A$4:$Z$14962,16,FALSE)</f>
        <v>141.69999999999999</v>
      </c>
      <c r="Q56" s="55">
        <f>VLOOKUP(YEAR($D$56)&amp;MONTH($D$56),dados_comercio!$A$4:$Z$14962,17,FALSE)</f>
        <v>176.7</v>
      </c>
      <c r="R56" s="55">
        <f>VLOOKUP(YEAR($D$56)&amp;MONTH($D$56),dados_comercio!$A$4:$Z$14962,18,FALSE)</f>
        <v>79.099999999999994</v>
      </c>
      <c r="S56" s="55">
        <f>VLOOKUP(YEAR($D$56)&amp;MONTH($D$56),dados_comercio!$A$4:$Z$14962,19,FALSE)</f>
        <v>73.900000000000006</v>
      </c>
    </row>
    <row r="57" spans="4:19" s="6" customFormat="1" ht="11.25" hidden="1" x14ac:dyDescent="0.2">
      <c r="D57" s="54">
        <f>EDATE(D52,-1)</f>
        <v>43770</v>
      </c>
      <c r="E57" s="55">
        <f>VLOOKUP(YEAR($D$57)&amp;MONTH($D$57),dados_comercio!$A$4:$Z$14962,5,FALSE)</f>
        <v>89.3</v>
      </c>
      <c r="F57" s="55">
        <f>VLOOKUP(YEAR($D$57)&amp;MONTH($D$57),dados_comercio!$A$4:$Z$14962,6,FALSE)</f>
        <v>94.8</v>
      </c>
      <c r="G57" s="55">
        <f>VLOOKUP(YEAR($D$57)&amp;MONTH($D$57),dados_comercio!$A$4:$Z$14962,7,FALSE)</f>
        <v>61.5</v>
      </c>
      <c r="H57" s="55">
        <f>VLOOKUP(YEAR($D$57)&amp;MONTH($D$57),dados_comercio!$A$4:$Z$14962,8,FALSE)</f>
        <v>94.2</v>
      </c>
      <c r="I57" s="55">
        <f>VLOOKUP(YEAR($D$57)&amp;MONTH($D$57),dados_comercio!$A$4:$Z$14962,9,FALSE)</f>
        <v>93.1</v>
      </c>
      <c r="J57" s="55">
        <f>VLOOKUP(YEAR($D$57)&amp;MONTH($D$57),dados_comercio!$A$4:$Z$14962,10,FALSE)</f>
        <v>85.2</v>
      </c>
      <c r="K57" s="55">
        <f>VLOOKUP(YEAR($D$57)&amp;MONTH($D$57),dados_comercio!$A$4:$Z$14962,11,FALSE)</f>
        <v>92.1</v>
      </c>
      <c r="L57" s="55">
        <f>VLOOKUP(YEAR($D$57)&amp;MONTH($D$57),dados_comercio!$A$4:$Z$14962,12,FALSE)</f>
        <v>69.400000000000006</v>
      </c>
      <c r="M57" s="55">
        <f>VLOOKUP(YEAR($D$57)&amp;MONTH($D$57),dados_comercio!$A$4:$Z$14962,13,FALSE)</f>
        <v>97.7</v>
      </c>
      <c r="N57" s="55">
        <f>VLOOKUP(YEAR($D$57)&amp;MONTH($D$57),dados_comercio!$A$4:$Z$14962,14,FALSE)</f>
        <v>112.3</v>
      </c>
      <c r="O57" s="55">
        <f>VLOOKUP(YEAR($D$57)&amp;MONTH($D$57),dados_comercio!$A$4:$Z$14962,15,FALSE)</f>
        <v>43.9</v>
      </c>
      <c r="P57" s="55">
        <f>VLOOKUP(YEAR($D$57)&amp;MONTH($D$57),dados_comercio!$A$4:$Z$14962,16,FALSE)</f>
        <v>122.6</v>
      </c>
      <c r="Q57" s="55">
        <f>VLOOKUP(YEAR($D$57)&amp;MONTH($D$57),dados_comercio!$A$4:$Z$14962,17,FALSE)</f>
        <v>117.7</v>
      </c>
      <c r="R57" s="55">
        <f>VLOOKUP(YEAR($D$57)&amp;MONTH($D$57),dados_comercio!$A$4:$Z$14962,18,FALSE)</f>
        <v>88.8</v>
      </c>
      <c r="S57" s="55">
        <f>VLOOKUP(YEAR($D$57)&amp;MONTH($D$57),dados_comercio!$A$4:$Z$14962,19,FALSE)</f>
        <v>82.7</v>
      </c>
    </row>
    <row r="58" spans="4:19" s="6" customFormat="1" ht="11.25" hidden="1" x14ac:dyDescent="0.2">
      <c r="D58" s="56">
        <f>EDATE(D52,-12)</f>
        <v>43435</v>
      </c>
      <c r="E58" s="55">
        <f>VLOOKUP(YEAR($D$58)&amp;MONTH($D$58),dados_comercio!$A$4:$Z$14962,5,FALSE)</f>
        <v>87.4</v>
      </c>
      <c r="F58" s="55">
        <f>VLOOKUP(YEAR($D$58)&amp;MONTH($D$58),dados_comercio!$A$4:$Z$14962,6,FALSE)</f>
        <v>115.9</v>
      </c>
      <c r="G58" s="55">
        <f>VLOOKUP(YEAR($D$58)&amp;MONTH($D$58),dados_comercio!$A$4:$Z$14962,7,FALSE)</f>
        <v>67.7</v>
      </c>
      <c r="H58" s="55">
        <f>VLOOKUP(YEAR($D$58)&amp;MONTH($D$58),dados_comercio!$A$4:$Z$14962,8,FALSE)</f>
        <v>113.8</v>
      </c>
      <c r="I58" s="55">
        <f>VLOOKUP(YEAR($D$58)&amp;MONTH($D$58),dados_comercio!$A$4:$Z$14962,9,FALSE)</f>
        <v>114.5</v>
      </c>
      <c r="J58" s="55">
        <f>VLOOKUP(YEAR($D$58)&amp;MONTH($D$58),dados_comercio!$A$4:$Z$14962,10,FALSE)</f>
        <v>142.30000000000001</v>
      </c>
      <c r="K58" s="55">
        <f>VLOOKUP(YEAR($D$58)&amp;MONTH($D$58),dados_comercio!$A$4:$Z$14962,11,FALSE)</f>
        <v>101.8</v>
      </c>
      <c r="L58" s="55">
        <f>VLOOKUP(YEAR($D$58)&amp;MONTH($D$58),dados_comercio!$A$4:$Z$14962,12,FALSE)</f>
        <v>91.3</v>
      </c>
      <c r="M58" s="55">
        <f>VLOOKUP(YEAR($D$58)&amp;MONTH($D$58),dados_comercio!$A$4:$Z$14962,13,FALSE)</f>
        <v>103.1</v>
      </c>
      <c r="N58" s="55">
        <f>VLOOKUP(YEAR($D$58)&amp;MONTH($D$58),dados_comercio!$A$4:$Z$14962,14,FALSE)</f>
        <v>119.1</v>
      </c>
      <c r="O58" s="55">
        <f>VLOOKUP(YEAR($D$58)&amp;MONTH($D$58),dados_comercio!$A$4:$Z$14962,15,FALSE)</f>
        <v>84.3</v>
      </c>
      <c r="P58" s="55">
        <f>VLOOKUP(YEAR($D$58)&amp;MONTH($D$58),dados_comercio!$A$4:$Z$14962,16,FALSE)</f>
        <v>135.6</v>
      </c>
      <c r="Q58" s="55">
        <f>VLOOKUP(YEAR($D$58)&amp;MONTH($D$58),dados_comercio!$A$4:$Z$14962,17,FALSE)</f>
        <v>142.80000000000001</v>
      </c>
      <c r="R58" s="55">
        <f>VLOOKUP(YEAR($D$58)&amp;MONTH($D$58),dados_comercio!$A$4:$Z$14962,18,FALSE)</f>
        <v>75</v>
      </c>
      <c r="S58" s="55">
        <f>VLOOKUP(YEAR($D$58)&amp;MONTH($D$58),dados_comercio!$A$4:$Z$14962,19,FALSE)</f>
        <v>79.7</v>
      </c>
    </row>
    <row r="59" spans="4:19" s="6" customFormat="1" ht="33.75" hidden="1" x14ac:dyDescent="0.2">
      <c r="D59" s="56" t="str">
        <f>CONCATENATE("Ano de "&amp;(YEAR(D56)&amp;" acumulado até "&amp;(TEXT(D56,"MMMM"))))</f>
        <v>Ano de 2019 acumulado até dezembro</v>
      </c>
      <c r="E59" s="55">
        <f>VLOOKUP(YEAR($D$56)&amp;MONTH($D$56),comercio_acumulados!$A$4:$Z$14962,5,FALSE)</f>
        <v>1060.3999999999999</v>
      </c>
      <c r="F59" s="55">
        <f>VLOOKUP(YEAR($D$56)&amp;MONTH($D$56),comercio_acumulados!$A$4:$Z$14962,6,FALSE)</f>
        <v>1061.0999999999999</v>
      </c>
      <c r="G59" s="55">
        <f>VLOOKUP(YEAR($D$56)&amp;MONTH($D$56),comercio_acumulados!$A$4:$Z$14962,7,FALSE)</f>
        <v>732.8</v>
      </c>
      <c r="H59" s="55">
        <f>VLOOKUP(YEAR($D$56)&amp;MONTH($D$56),comercio_acumulados!$A$4:$Z$14962,8,FALSE)</f>
        <v>1093.7</v>
      </c>
      <c r="I59" s="55">
        <f>VLOOKUP(YEAR($D$56)&amp;MONTH($D$56),comercio_acumulados!$A$4:$Z$14962,9,FALSE)</f>
        <v>1085.5999999999999</v>
      </c>
      <c r="J59" s="55">
        <f>VLOOKUP(YEAR($D$56)&amp;MONTH($D$56),comercio_acumulados!$A$4:$Z$14962,10,FALSE)</f>
        <v>930.60000000000014</v>
      </c>
      <c r="K59" s="55">
        <f>VLOOKUP(YEAR($D$56)&amp;MONTH($D$56),comercio_acumulados!$A$4:$Z$14962,11,FALSE)</f>
        <v>924.2</v>
      </c>
      <c r="L59" s="55">
        <f>VLOOKUP(YEAR($D$56)&amp;MONTH($D$56),comercio_acumulados!$A$4:$Z$14962,12,FALSE)</f>
        <v>795.3</v>
      </c>
      <c r="M59" s="55">
        <f>VLOOKUP(YEAR($D$56)&amp;MONTH($D$56),comercio_acumulados!$A$4:$Z$14962,13,FALSE)</f>
        <v>948.90000000000009</v>
      </c>
      <c r="N59" s="55">
        <f>VLOOKUP(YEAR($D$56)&amp;MONTH($D$56),comercio_acumulados!$A$4:$Z$14962,14,FALSE)</f>
        <v>1325.8999999999999</v>
      </c>
      <c r="O59" s="55">
        <f>VLOOKUP(YEAR($D$56)&amp;MONTH($D$56),comercio_acumulados!$A$4:$Z$14962,15,FALSE)</f>
        <v>667.99999999999989</v>
      </c>
      <c r="P59" s="55">
        <f>VLOOKUP(YEAR($D$56)&amp;MONTH($D$56),comercio_acumulados!$A$4:$Z$14962,16,FALSE)</f>
        <v>1245.0999999999999</v>
      </c>
      <c r="Q59" s="55">
        <f>VLOOKUP(YEAR($D$56)&amp;MONTH($D$56),comercio_acumulados!$A$4:$Z$14962,17,FALSE)</f>
        <v>1204.4000000000001</v>
      </c>
      <c r="R59" s="55">
        <f>VLOOKUP(YEAR($D$56)&amp;MONTH($D$56),comercio_acumulados!$A$4:$Z$14962,18,FALSE)</f>
        <v>1003.3</v>
      </c>
      <c r="S59" s="55">
        <f>VLOOKUP(YEAR($D$56)&amp;MONTH($D$56),comercio_acumulados!$A$4:$Z$14962,19,FALSE)</f>
        <v>915.9</v>
      </c>
    </row>
    <row r="60" spans="4:19" s="6" customFormat="1" ht="33.75" hidden="1" x14ac:dyDescent="0.2">
      <c r="D60" s="56" t="str">
        <f>CONCATENATE("Ano de "&amp;(YEAR(D58)&amp;" acumulado até "&amp;(TEXT(D58,"MMMM"))))</f>
        <v>Ano de 2018 acumulado até dezembro</v>
      </c>
      <c r="E60" s="55">
        <f>VLOOKUP(YEAR($D$58)&amp;MONTH($D$58),comercio_acumulados!$A$4:$Z$14962,5,FALSE)</f>
        <v>1057.4000000000001</v>
      </c>
      <c r="F60" s="55">
        <f>VLOOKUP(YEAR($D$58)&amp;MONTH($D$58),comercio_acumulados!$A$4:$Z$14962,6,FALSE)</f>
        <v>1056.5000000000002</v>
      </c>
      <c r="G60" s="55">
        <f>VLOOKUP(YEAR($D$58)&amp;MONTH($D$58),comercio_acumulados!$A$4:$Z$14962,7,FALSE)</f>
        <v>705.80000000000007</v>
      </c>
      <c r="H60" s="55">
        <f>VLOOKUP(YEAR($D$58)&amp;MONTH($D$58),comercio_acumulados!$A$4:$Z$14962,8,FALSE)</f>
        <v>1097</v>
      </c>
      <c r="I60" s="55">
        <f>VLOOKUP(YEAR($D$58)&amp;MONTH($D$58),comercio_acumulados!$A$4:$Z$14962,9,FALSE)</f>
        <v>1084.8000000000002</v>
      </c>
      <c r="J60" s="55">
        <f>VLOOKUP(YEAR($D$58)&amp;MONTH($D$58),comercio_acumulados!$A$4:$Z$14962,10,FALSE)</f>
        <v>953</v>
      </c>
      <c r="K60" s="55">
        <f>VLOOKUP(YEAR($D$58)&amp;MONTH($D$58),comercio_acumulados!$A$4:$Z$14962,11,FALSE)</f>
        <v>907.8</v>
      </c>
      <c r="L60" s="55">
        <f>VLOOKUP(YEAR($D$58)&amp;MONTH($D$58),comercio_acumulados!$A$4:$Z$14962,12,FALSE)</f>
        <v>808.19999999999993</v>
      </c>
      <c r="M60" s="55">
        <f>VLOOKUP(YEAR($D$58)&amp;MONTH($D$58),comercio_acumulados!$A$4:$Z$14962,13,FALSE)</f>
        <v>920.2</v>
      </c>
      <c r="N60" s="55">
        <f>VLOOKUP(YEAR($D$58)&amp;MONTH($D$58),comercio_acumulados!$A$4:$Z$14962,14,FALSE)</f>
        <v>1303.5999999999999</v>
      </c>
      <c r="O60" s="55">
        <f>VLOOKUP(YEAR($D$58)&amp;MONTH($D$58),comercio_acumulados!$A$4:$Z$14962,15,FALSE)</f>
        <v>792.19999999999993</v>
      </c>
      <c r="P60" s="55">
        <f>VLOOKUP(YEAR($D$58)&amp;MONTH($D$58),comercio_acumulados!$A$4:$Z$14962,16,FALSE)</f>
        <v>1087.5999999999999</v>
      </c>
      <c r="Q60" s="55">
        <f>VLOOKUP(YEAR($D$58)&amp;MONTH($D$58),comercio_acumulados!$A$4:$Z$14962,17,FALSE)</f>
        <v>1187</v>
      </c>
      <c r="R60" s="55">
        <f>VLOOKUP(YEAR($D$58)&amp;MONTH($D$58),comercio_acumulados!$A$4:$Z$14962,18,FALSE)</f>
        <v>917.69999999999993</v>
      </c>
      <c r="S60" s="55">
        <f>VLOOKUP(YEAR($D$58)&amp;MONTH($D$58),comercio_acumulados!$A$4:$Z$14962,19,FALSE)</f>
        <v>966.50000000000011</v>
      </c>
    </row>
    <row r="61" spans="4:19" hidden="1" x14ac:dyDescent="0.25">
      <c r="D61" s="24"/>
      <c r="E61" s="6"/>
      <c r="F61" s="6"/>
      <c r="G61" s="6"/>
      <c r="H61" s="6"/>
    </row>
    <row r="62" spans="4:19" hidden="1" x14ac:dyDescent="0.25">
      <c r="D62" s="24"/>
      <c r="E62" s="6"/>
      <c r="F62" s="6"/>
      <c r="G62" s="6"/>
      <c r="H62" s="6"/>
    </row>
    <row r="63" spans="4:19" hidden="1" x14ac:dyDescent="0.25"/>
    <row r="64" spans="4:19" hidden="1" x14ac:dyDescent="0.25"/>
    <row r="65" hidden="1" x14ac:dyDescent="0.25"/>
    <row r="66" hidden="1" x14ac:dyDescent="0.25"/>
    <row r="67" hidden="1" x14ac:dyDescent="0.25"/>
    <row r="68" hidden="1" x14ac:dyDescent="0.25"/>
  </sheetData>
  <mergeCells count="4">
    <mergeCell ref="D4:D5"/>
    <mergeCell ref="E4:S4"/>
    <mergeCell ref="D51:H51"/>
    <mergeCell ref="D52:H52"/>
  </mergeCells>
  <dataValidations count="1">
    <dataValidation type="list" allowBlank="1" showInputMessage="1" showErrorMessage="1" sqref="D52:H52">
      <formula1>lista_comercio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controle</vt:lpstr>
      <vt:lpstr>dados_comercio</vt:lpstr>
      <vt:lpstr>comercio_acumulados</vt:lpstr>
      <vt:lpstr>painel_comercio</vt:lpstr>
      <vt:lpstr>indicadores_comercio</vt:lpstr>
      <vt:lpstr>lista_comercio</vt:lpstr>
      <vt:lpstr>lista_ind</vt:lpstr>
      <vt:lpstr>lista_serviços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Monteiro de Oliveira</dc:creator>
  <cp:lastModifiedBy>Alexandre Monteiro de Oliveira</cp:lastModifiedBy>
  <dcterms:created xsi:type="dcterms:W3CDTF">2019-09-30T17:40:22Z</dcterms:created>
  <dcterms:modified xsi:type="dcterms:W3CDTF">2020-02-17T17:33:21Z</dcterms:modified>
</cp:coreProperties>
</file>