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Cogin - 2018-2019\Indicadores_COPE_COGIN\Indicadores_prontos_para_site\"/>
    </mc:Choice>
  </mc:AlternateContent>
  <bookViews>
    <workbookView xWindow="0" yWindow="0" windowWidth="24000" windowHeight="8835" firstSheet="3" activeTab="3"/>
  </bookViews>
  <sheets>
    <sheet name="controle" sheetId="4" state="hidden" r:id="rId1"/>
    <sheet name="dados" sheetId="1" state="hidden" r:id="rId2"/>
    <sheet name="dados_acumulados" sheetId="6" state="hidden" r:id="rId3"/>
    <sheet name="painel_industria" sheetId="3" r:id="rId4"/>
    <sheet name="indicadores_industriais" sheetId="5" r:id="rId5"/>
  </sheets>
  <definedNames>
    <definedName name="_xlnm._FilterDatabase" localSheetId="4" hidden="1">indicadores_industriais!$A$4:$E$42</definedName>
    <definedName name="lista_comercio">controle!$H$3:$H$38</definedName>
    <definedName name="lista_ind">controle!$E$3:$E$38</definedName>
    <definedName name="lista_serviços">controle!$J$3:$J$38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6" i="5" l="1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S45" i="5" l="1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C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61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C61" i="5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H38" i="6"/>
  <c r="F64" i="5" s="1"/>
  <c r="I38" i="6"/>
  <c r="G64" i="5" s="1"/>
  <c r="J38" i="6"/>
  <c r="E12" i="3" s="1"/>
  <c r="K38" i="6"/>
  <c r="E13" i="3" s="1"/>
  <c r="L38" i="6"/>
  <c r="J64" i="5" s="1"/>
  <c r="M38" i="6"/>
  <c r="K64" i="5" s="1"/>
  <c r="N38" i="6"/>
  <c r="E16" i="3" s="1"/>
  <c r="O38" i="6"/>
  <c r="E17" i="3" s="1"/>
  <c r="P38" i="6"/>
  <c r="N64" i="5" s="1"/>
  <c r="Q38" i="6"/>
  <c r="O64" i="5" s="1"/>
  <c r="R38" i="6"/>
  <c r="E20" i="3" s="1"/>
  <c r="S38" i="6"/>
  <c r="E21" i="3" s="1"/>
  <c r="T38" i="6"/>
  <c r="E22" i="3" s="1"/>
  <c r="U38" i="6"/>
  <c r="S64" i="5" s="1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E10" i="3" l="1"/>
  <c r="E14" i="3"/>
  <c r="E18" i="3"/>
  <c r="H64" i="5"/>
  <c r="L64" i="5"/>
  <c r="P64" i="5"/>
  <c r="E11" i="3"/>
  <c r="E15" i="3"/>
  <c r="E19" i="3"/>
  <c r="I64" i="5"/>
  <c r="M64" i="5"/>
  <c r="Q64" i="5"/>
  <c r="E23" i="3"/>
  <c r="R64" i="5"/>
  <c r="J20" i="5"/>
  <c r="L20" i="5"/>
  <c r="S34" i="5"/>
  <c r="O34" i="5"/>
  <c r="K34" i="5"/>
  <c r="G34" i="5"/>
  <c r="Q34" i="5"/>
  <c r="M34" i="5"/>
  <c r="I34" i="5"/>
  <c r="S6" i="5"/>
  <c r="O6" i="5"/>
  <c r="K6" i="5"/>
  <c r="G6" i="5"/>
  <c r="Q6" i="5"/>
  <c r="M6" i="5"/>
  <c r="I6" i="5"/>
  <c r="N20" i="5"/>
  <c r="P20" i="5"/>
  <c r="Q20" i="5"/>
  <c r="M20" i="5"/>
  <c r="I20" i="5"/>
  <c r="S20" i="5"/>
  <c r="O20" i="5"/>
  <c r="K20" i="5"/>
  <c r="G20" i="5"/>
  <c r="R20" i="5"/>
  <c r="F20" i="5"/>
  <c r="H20" i="5"/>
  <c r="P34" i="5"/>
  <c r="L34" i="5"/>
  <c r="H34" i="5"/>
  <c r="R34" i="5"/>
  <c r="N34" i="5"/>
  <c r="J34" i="5"/>
  <c r="F34" i="5"/>
  <c r="P6" i="5"/>
  <c r="L6" i="5"/>
  <c r="H6" i="5"/>
  <c r="R6" i="5"/>
  <c r="N6" i="5"/>
  <c r="J6" i="5"/>
  <c r="F6" i="5"/>
  <c r="A45" i="5"/>
  <c r="A43" i="5" l="1"/>
  <c r="A44" i="5"/>
  <c r="B37" i="6"/>
  <c r="C37" i="6"/>
  <c r="D37" i="6"/>
  <c r="B37" i="1"/>
  <c r="C37" i="1"/>
  <c r="B38" i="1"/>
  <c r="C38" i="1"/>
  <c r="B39" i="1"/>
  <c r="C39" i="1"/>
  <c r="B40" i="1"/>
  <c r="A40" i="1" s="1"/>
  <c r="C40" i="1"/>
  <c r="A38" i="1" l="1"/>
  <c r="A39" i="1"/>
  <c r="A37" i="1"/>
  <c r="A37" i="6" s="1"/>
  <c r="A63" i="5" l="1"/>
  <c r="A62" i="5"/>
  <c r="A61" i="5"/>
  <c r="A64" i="5" s="1"/>
  <c r="A51" i="5"/>
  <c r="A50" i="5"/>
  <c r="A49" i="5"/>
  <c r="S65" i="5" l="1"/>
  <c r="S51" i="5" s="1"/>
  <c r="O65" i="5"/>
  <c r="O51" i="5" s="1"/>
  <c r="K65" i="5"/>
  <c r="K51" i="5" s="1"/>
  <c r="G65" i="5"/>
  <c r="G51" i="5" s="1"/>
  <c r="R65" i="5"/>
  <c r="R51" i="5" s="1"/>
  <c r="N65" i="5"/>
  <c r="N51" i="5" s="1"/>
  <c r="J65" i="5"/>
  <c r="J51" i="5" s="1"/>
  <c r="F65" i="5"/>
  <c r="F51" i="5" s="1"/>
  <c r="Q65" i="5"/>
  <c r="Q51" i="5" s="1"/>
  <c r="M65" i="5"/>
  <c r="M51" i="5" s="1"/>
  <c r="I65" i="5"/>
  <c r="I51" i="5" s="1"/>
  <c r="P65" i="5"/>
  <c r="P51" i="5" s="1"/>
  <c r="L65" i="5"/>
  <c r="L51" i="5" s="1"/>
  <c r="H65" i="5"/>
  <c r="H51" i="5" s="1"/>
  <c r="S62" i="5"/>
  <c r="S49" i="5" s="1"/>
  <c r="O62" i="5"/>
  <c r="O49" i="5" s="1"/>
  <c r="K62" i="5"/>
  <c r="K49" i="5" s="1"/>
  <c r="G62" i="5"/>
  <c r="G49" i="5" s="1"/>
  <c r="R62" i="5"/>
  <c r="R49" i="5" s="1"/>
  <c r="N62" i="5"/>
  <c r="N49" i="5" s="1"/>
  <c r="J62" i="5"/>
  <c r="J49" i="5" s="1"/>
  <c r="F62" i="5"/>
  <c r="F49" i="5" s="1"/>
  <c r="Q62" i="5"/>
  <c r="Q49" i="5" s="1"/>
  <c r="M62" i="5"/>
  <c r="M49" i="5" s="1"/>
  <c r="I62" i="5"/>
  <c r="I49" i="5" s="1"/>
  <c r="P62" i="5"/>
  <c r="P49" i="5" s="1"/>
  <c r="L62" i="5"/>
  <c r="L49" i="5" s="1"/>
  <c r="H62" i="5"/>
  <c r="H49" i="5" s="1"/>
  <c r="A65" i="5"/>
  <c r="Q63" i="5"/>
  <c r="Q50" i="5" s="1"/>
  <c r="M63" i="5"/>
  <c r="M50" i="5" s="1"/>
  <c r="I63" i="5"/>
  <c r="I50" i="5" s="1"/>
  <c r="D63" i="5"/>
  <c r="P63" i="5"/>
  <c r="P50" i="5" s="1"/>
  <c r="L63" i="5"/>
  <c r="L50" i="5" s="1"/>
  <c r="H63" i="5"/>
  <c r="H50" i="5" s="1"/>
  <c r="C63" i="5"/>
  <c r="F63" i="5"/>
  <c r="F50" i="5" s="1"/>
  <c r="S63" i="5"/>
  <c r="S50" i="5" s="1"/>
  <c r="O63" i="5"/>
  <c r="O50" i="5" s="1"/>
  <c r="K63" i="5"/>
  <c r="K50" i="5" s="1"/>
  <c r="G63" i="5"/>
  <c r="G50" i="5" s="1"/>
  <c r="R63" i="5"/>
  <c r="R50" i="5" s="1"/>
  <c r="N63" i="5"/>
  <c r="N50" i="5" s="1"/>
  <c r="J63" i="5"/>
  <c r="J50" i="5" s="1"/>
  <c r="E63" i="5"/>
  <c r="E34" i="5"/>
  <c r="D34" i="5"/>
  <c r="C34" i="5"/>
  <c r="C6" i="5"/>
  <c r="C20" i="5"/>
  <c r="D6" i="5"/>
  <c r="D20" i="5"/>
  <c r="E6" i="5"/>
  <c r="E20" i="5"/>
  <c r="I5" i="3" l="1"/>
  <c r="D6" i="3"/>
  <c r="C6" i="3"/>
  <c r="B6" i="3"/>
  <c r="E6" i="3" s="1"/>
  <c r="C22" i="3" l="1"/>
  <c r="G22" i="3" s="1"/>
  <c r="C18" i="3"/>
  <c r="G18" i="3" s="1"/>
  <c r="C10" i="3"/>
  <c r="G10" i="3" s="1"/>
  <c r="C12" i="3"/>
  <c r="G12" i="3" s="1"/>
  <c r="C23" i="3"/>
  <c r="G23" i="3" s="1"/>
  <c r="C19" i="3"/>
  <c r="G19" i="3" s="1"/>
  <c r="C15" i="3"/>
  <c r="G15" i="3" s="1"/>
  <c r="C11" i="3"/>
  <c r="G11" i="3" s="1"/>
  <c r="C7" i="3"/>
  <c r="G7" i="3" s="1"/>
  <c r="C20" i="3"/>
  <c r="G20" i="3" s="1"/>
  <c r="C8" i="3"/>
  <c r="C21" i="3"/>
  <c r="G21" i="3" s="1"/>
  <c r="C17" i="3"/>
  <c r="G17" i="3" s="1"/>
  <c r="C13" i="3"/>
  <c r="G13" i="3" s="1"/>
  <c r="C9" i="3"/>
  <c r="C14" i="3"/>
  <c r="G14" i="3" s="1"/>
  <c r="C16" i="3"/>
  <c r="G16" i="3" s="1"/>
  <c r="D19" i="3"/>
  <c r="H19" i="3" s="1"/>
  <c r="D11" i="3"/>
  <c r="H11" i="3" s="1"/>
  <c r="D13" i="3"/>
  <c r="H13" i="3" s="1"/>
  <c r="F21" i="3"/>
  <c r="I21" i="3" s="1"/>
  <c r="F19" i="3"/>
  <c r="I19" i="3" s="1"/>
  <c r="F17" i="3"/>
  <c r="I17" i="3" s="1"/>
  <c r="F15" i="3"/>
  <c r="I15" i="3" s="1"/>
  <c r="F13" i="3"/>
  <c r="I13" i="3" s="1"/>
  <c r="F11" i="3"/>
  <c r="I11" i="3" s="1"/>
  <c r="F22" i="3"/>
  <c r="I22" i="3" s="1"/>
  <c r="D20" i="3"/>
  <c r="H20" i="3" s="1"/>
  <c r="D16" i="3"/>
  <c r="H16" i="3" s="1"/>
  <c r="D12" i="3"/>
  <c r="H12" i="3" s="1"/>
  <c r="D8" i="3"/>
  <c r="D21" i="3"/>
  <c r="H21" i="3" s="1"/>
  <c r="D9" i="3"/>
  <c r="F20" i="3"/>
  <c r="I20" i="3" s="1"/>
  <c r="F18" i="3"/>
  <c r="I18" i="3" s="1"/>
  <c r="F16" i="3"/>
  <c r="I16" i="3" s="1"/>
  <c r="F14" i="3"/>
  <c r="I14" i="3" s="1"/>
  <c r="F12" i="3"/>
  <c r="I12" i="3" s="1"/>
  <c r="F10" i="3"/>
  <c r="I10" i="3" s="1"/>
  <c r="F23" i="3"/>
  <c r="I23" i="3" s="1"/>
  <c r="D22" i="3"/>
  <c r="H22" i="3" s="1"/>
  <c r="D18" i="3"/>
  <c r="H18" i="3" s="1"/>
  <c r="D14" i="3"/>
  <c r="H14" i="3" s="1"/>
  <c r="D10" i="3"/>
  <c r="H10" i="3" s="1"/>
  <c r="D23" i="3"/>
  <c r="H23" i="3" s="1"/>
  <c r="D15" i="3"/>
  <c r="H15" i="3" s="1"/>
  <c r="D7" i="3"/>
  <c r="H7" i="3" s="1"/>
  <c r="D17" i="3"/>
  <c r="H17" i="3" s="1"/>
  <c r="F6" i="3"/>
  <c r="H5" i="3"/>
  <c r="G5" i="3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B38" i="6"/>
  <c r="D38" i="6"/>
  <c r="B39" i="6"/>
  <c r="D39" i="6"/>
  <c r="B40" i="6"/>
  <c r="D40" i="6"/>
  <c r="D41" i="6"/>
  <c r="D42" i="6"/>
  <c r="D43" i="6"/>
  <c r="D44" i="6"/>
  <c r="D45" i="6"/>
  <c r="D46" i="6"/>
  <c r="D47" i="6"/>
  <c r="D48" i="6"/>
  <c r="D49" i="6"/>
  <c r="D50" i="6"/>
  <c r="D51" i="6"/>
  <c r="B4" i="1"/>
  <c r="C4" i="1"/>
  <c r="C4" i="6" s="1"/>
  <c r="B5" i="1"/>
  <c r="B5" i="6" s="1"/>
  <c r="C5" i="1"/>
  <c r="C5" i="6" s="1"/>
  <c r="B6" i="1"/>
  <c r="C6" i="1"/>
  <c r="C6" i="6" s="1"/>
  <c r="B7" i="1"/>
  <c r="A7" i="1" s="1"/>
  <c r="A7" i="6" s="1"/>
  <c r="C7" i="1"/>
  <c r="C7" i="6" s="1"/>
  <c r="B8" i="1"/>
  <c r="B8" i="6" s="1"/>
  <c r="C8" i="1"/>
  <c r="C8" i="6" s="1"/>
  <c r="B9" i="1"/>
  <c r="A9" i="1" s="1"/>
  <c r="A9" i="6" s="1"/>
  <c r="C9" i="1"/>
  <c r="C9" i="6" s="1"/>
  <c r="B10" i="1"/>
  <c r="B10" i="6" s="1"/>
  <c r="C10" i="1"/>
  <c r="C10" i="6" s="1"/>
  <c r="A11" i="1"/>
  <c r="A11" i="6" s="1"/>
  <c r="B11" i="1"/>
  <c r="B11" i="6" s="1"/>
  <c r="C11" i="1"/>
  <c r="C11" i="6" s="1"/>
  <c r="B12" i="1"/>
  <c r="B12" i="6" s="1"/>
  <c r="C12" i="1"/>
  <c r="C12" i="6" s="1"/>
  <c r="B13" i="1"/>
  <c r="A13" i="1" s="1"/>
  <c r="A13" i="6" s="1"/>
  <c r="C13" i="1"/>
  <c r="C13" i="6" s="1"/>
  <c r="B14" i="1"/>
  <c r="B14" i="6" s="1"/>
  <c r="C14" i="1"/>
  <c r="C14" i="6" s="1"/>
  <c r="B15" i="1"/>
  <c r="B15" i="6" s="1"/>
  <c r="C15" i="1"/>
  <c r="B16" i="1"/>
  <c r="A16" i="1" s="1"/>
  <c r="A16" i="6" s="1"/>
  <c r="C16" i="1"/>
  <c r="C16" i="6" s="1"/>
  <c r="B17" i="1"/>
  <c r="B17" i="6" s="1"/>
  <c r="C17" i="1"/>
  <c r="C17" i="6" s="1"/>
  <c r="B18" i="1"/>
  <c r="A18" i="1" s="1"/>
  <c r="A18" i="6" s="1"/>
  <c r="C18" i="1"/>
  <c r="C18" i="6" s="1"/>
  <c r="B19" i="1"/>
  <c r="B19" i="6" s="1"/>
  <c r="C19" i="1"/>
  <c r="C19" i="6" s="1"/>
  <c r="B20" i="1"/>
  <c r="A20" i="1" s="1"/>
  <c r="A20" i="6" s="1"/>
  <c r="C20" i="1"/>
  <c r="C20" i="6" s="1"/>
  <c r="B21" i="1"/>
  <c r="B21" i="6" s="1"/>
  <c r="C21" i="1"/>
  <c r="C21" i="6" s="1"/>
  <c r="B22" i="1"/>
  <c r="A22" i="1" s="1"/>
  <c r="A22" i="6" s="1"/>
  <c r="C22" i="1"/>
  <c r="C22" i="6" s="1"/>
  <c r="B23" i="1"/>
  <c r="A23" i="1" s="1"/>
  <c r="A23" i="6" s="1"/>
  <c r="C23" i="1"/>
  <c r="C23" i="6" s="1"/>
  <c r="B24" i="1"/>
  <c r="B24" i="6" s="1"/>
  <c r="C24" i="1"/>
  <c r="C24" i="6" s="1"/>
  <c r="B25" i="1"/>
  <c r="A25" i="1" s="1"/>
  <c r="A25" i="6" s="1"/>
  <c r="C25" i="1"/>
  <c r="C25" i="6" s="1"/>
  <c r="B26" i="1"/>
  <c r="B26" i="6" s="1"/>
  <c r="C26" i="1"/>
  <c r="C26" i="6" s="1"/>
  <c r="B27" i="1"/>
  <c r="B27" i="6" s="1"/>
  <c r="C27" i="1"/>
  <c r="A27" i="1" s="1"/>
  <c r="A27" i="6" s="1"/>
  <c r="B28" i="1"/>
  <c r="B28" i="6" s="1"/>
  <c r="C28" i="1"/>
  <c r="C28" i="6" s="1"/>
  <c r="B29" i="1"/>
  <c r="C29" i="1"/>
  <c r="C29" i="6" s="1"/>
  <c r="B30" i="1"/>
  <c r="B30" i="6" s="1"/>
  <c r="C30" i="1"/>
  <c r="C30" i="6" s="1"/>
  <c r="B31" i="1"/>
  <c r="B31" i="6" s="1"/>
  <c r="C31" i="1"/>
  <c r="C31" i="6" s="1"/>
  <c r="B32" i="1"/>
  <c r="A32" i="1" s="1"/>
  <c r="A32" i="6" s="1"/>
  <c r="C32" i="1"/>
  <c r="C32" i="6" s="1"/>
  <c r="B33" i="1"/>
  <c r="B33" i="6" s="1"/>
  <c r="C33" i="1"/>
  <c r="C33" i="6" s="1"/>
  <c r="B34" i="1"/>
  <c r="B34" i="6" s="1"/>
  <c r="C34" i="1"/>
  <c r="C34" i="6" s="1"/>
  <c r="B35" i="1"/>
  <c r="A35" i="1" s="1"/>
  <c r="A35" i="6" s="1"/>
  <c r="C35" i="1"/>
  <c r="C35" i="6" s="1"/>
  <c r="B36" i="1"/>
  <c r="B36" i="6" s="1"/>
  <c r="C36" i="1"/>
  <c r="C36" i="6" s="1"/>
  <c r="C38" i="6"/>
  <c r="A39" i="6"/>
  <c r="C39" i="6"/>
  <c r="C40" i="6"/>
  <c r="B41" i="1"/>
  <c r="B41" i="6" s="1"/>
  <c r="C41" i="1"/>
  <c r="C41" i="6" s="1"/>
  <c r="B42" i="1"/>
  <c r="B42" i="6" s="1"/>
  <c r="C42" i="1"/>
  <c r="C42" i="6" s="1"/>
  <c r="B43" i="1"/>
  <c r="A43" i="1" s="1"/>
  <c r="A43" i="6" s="1"/>
  <c r="C43" i="1"/>
  <c r="C43" i="6" s="1"/>
  <c r="B44" i="1"/>
  <c r="B44" i="6" s="1"/>
  <c r="C44" i="1"/>
  <c r="C44" i="6" s="1"/>
  <c r="B45" i="1"/>
  <c r="A45" i="1" s="1"/>
  <c r="A45" i="6" s="1"/>
  <c r="C45" i="1"/>
  <c r="C45" i="6" s="1"/>
  <c r="B46" i="1"/>
  <c r="B46" i="6" s="1"/>
  <c r="C46" i="1"/>
  <c r="C46" i="6" s="1"/>
  <c r="B47" i="1"/>
  <c r="B47" i="6" s="1"/>
  <c r="C47" i="1"/>
  <c r="B48" i="1"/>
  <c r="B48" i="6" s="1"/>
  <c r="C48" i="1"/>
  <c r="C48" i="6" s="1"/>
  <c r="B49" i="1"/>
  <c r="B49" i="6" s="1"/>
  <c r="C49" i="1"/>
  <c r="C49" i="6" s="1"/>
  <c r="B50" i="1"/>
  <c r="B50" i="6" s="1"/>
  <c r="C50" i="1"/>
  <c r="C50" i="6" s="1"/>
  <c r="B51" i="1"/>
  <c r="B51" i="6" s="1"/>
  <c r="C51" i="1"/>
  <c r="C51" i="6" s="1"/>
  <c r="A31" i="1" l="1"/>
  <c r="A31" i="6" s="1"/>
  <c r="A29" i="1"/>
  <c r="A29" i="6" s="1"/>
  <c r="A15" i="1"/>
  <c r="A15" i="6" s="1"/>
  <c r="A6" i="1"/>
  <c r="A6" i="6" s="1"/>
  <c r="A4" i="1"/>
  <c r="C27" i="6"/>
  <c r="C15" i="6"/>
  <c r="B32" i="6"/>
  <c r="B29" i="6"/>
  <c r="B25" i="6"/>
  <c r="B23" i="6"/>
  <c r="B22" i="6"/>
  <c r="B20" i="6"/>
  <c r="B18" i="6"/>
  <c r="B16" i="6"/>
  <c r="B13" i="6"/>
  <c r="B9" i="6"/>
  <c r="B7" i="6"/>
  <c r="B6" i="6"/>
  <c r="B4" i="6"/>
  <c r="B45" i="6"/>
  <c r="B43" i="6"/>
  <c r="E33" i="6"/>
  <c r="F33" i="6"/>
  <c r="G33" i="6"/>
  <c r="A46" i="1"/>
  <c r="A46" i="6" s="1"/>
  <c r="A47" i="1"/>
  <c r="A47" i="6" s="1"/>
  <c r="A38" i="6"/>
  <c r="A36" i="1"/>
  <c r="A36" i="6" s="1"/>
  <c r="A34" i="1"/>
  <c r="A34" i="6" s="1"/>
  <c r="C47" i="6"/>
  <c r="F51" i="6"/>
  <c r="G51" i="6"/>
  <c r="E51" i="6"/>
  <c r="E50" i="6"/>
  <c r="F50" i="6"/>
  <c r="G50" i="6"/>
  <c r="F49" i="6"/>
  <c r="G49" i="6"/>
  <c r="E49" i="6"/>
  <c r="G48" i="6"/>
  <c r="E48" i="6"/>
  <c r="F48" i="6"/>
  <c r="F47" i="6"/>
  <c r="G47" i="6"/>
  <c r="E47" i="6"/>
  <c r="E46" i="6"/>
  <c r="F46" i="6"/>
  <c r="G46" i="6"/>
  <c r="E45" i="6"/>
  <c r="F45" i="6"/>
  <c r="G45" i="6"/>
  <c r="G44" i="6"/>
  <c r="E44" i="6"/>
  <c r="F44" i="6"/>
  <c r="F43" i="6"/>
  <c r="G43" i="6"/>
  <c r="E43" i="6"/>
  <c r="E42" i="6"/>
  <c r="F42" i="6"/>
  <c r="G42" i="6"/>
  <c r="E41" i="6"/>
  <c r="F41" i="6"/>
  <c r="G41" i="6"/>
  <c r="G40" i="6"/>
  <c r="E40" i="6"/>
  <c r="F40" i="6"/>
  <c r="F39" i="6"/>
  <c r="G39" i="6"/>
  <c r="E39" i="6"/>
  <c r="E38" i="6"/>
  <c r="E7" i="3" s="1"/>
  <c r="F38" i="6"/>
  <c r="G38" i="6"/>
  <c r="G36" i="6"/>
  <c r="E36" i="6"/>
  <c r="F36" i="6"/>
  <c r="B35" i="6"/>
  <c r="E34" i="6"/>
  <c r="F34" i="6"/>
  <c r="G34" i="6"/>
  <c r="G32" i="6"/>
  <c r="E32" i="6"/>
  <c r="F32" i="6"/>
  <c r="F31" i="6"/>
  <c r="G31" i="6"/>
  <c r="E31" i="6"/>
  <c r="E30" i="6"/>
  <c r="F30" i="6"/>
  <c r="G30" i="6"/>
  <c r="E29" i="6"/>
  <c r="F29" i="6"/>
  <c r="G29" i="6"/>
  <c r="G28" i="6"/>
  <c r="E28" i="6"/>
  <c r="F28" i="6"/>
  <c r="F27" i="6"/>
  <c r="G27" i="6"/>
  <c r="E27" i="6"/>
  <c r="E26" i="6"/>
  <c r="F7" i="3" s="1"/>
  <c r="I7" i="3" s="1"/>
  <c r="F26" i="6"/>
  <c r="G26" i="6"/>
  <c r="E25" i="6"/>
  <c r="F25" i="6"/>
  <c r="G25" i="6"/>
  <c r="G24" i="6"/>
  <c r="E24" i="6"/>
  <c r="F24" i="6"/>
  <c r="F23" i="6"/>
  <c r="G23" i="6"/>
  <c r="E23" i="6"/>
  <c r="E22" i="6"/>
  <c r="F22" i="6"/>
  <c r="G22" i="6"/>
  <c r="E21" i="6"/>
  <c r="F21" i="6"/>
  <c r="G21" i="6"/>
  <c r="G20" i="6"/>
  <c r="E20" i="6"/>
  <c r="F20" i="6"/>
  <c r="F19" i="6"/>
  <c r="G19" i="6"/>
  <c r="E19" i="6"/>
  <c r="E18" i="6"/>
  <c r="F18" i="6"/>
  <c r="G18" i="6"/>
  <c r="E17" i="6"/>
  <c r="F17" i="6"/>
  <c r="G17" i="6"/>
  <c r="G16" i="6"/>
  <c r="E16" i="6"/>
  <c r="F16" i="6"/>
  <c r="F15" i="6"/>
  <c r="G15" i="6"/>
  <c r="E15" i="6"/>
  <c r="E14" i="6"/>
  <c r="F14" i="6"/>
  <c r="G14" i="6"/>
  <c r="E13" i="6"/>
  <c r="F13" i="6"/>
  <c r="G13" i="6"/>
  <c r="G12" i="6"/>
  <c r="E12" i="6"/>
  <c r="F12" i="6"/>
  <c r="F11" i="6"/>
  <c r="G11" i="6"/>
  <c r="E11" i="6"/>
  <c r="E10" i="6"/>
  <c r="F10" i="6"/>
  <c r="G10" i="6"/>
  <c r="E9" i="6"/>
  <c r="F9" i="6"/>
  <c r="G9" i="6"/>
  <c r="G8" i="6"/>
  <c r="E8" i="6"/>
  <c r="F8" i="6"/>
  <c r="F7" i="6"/>
  <c r="G7" i="6"/>
  <c r="E7" i="6"/>
  <c r="E6" i="6"/>
  <c r="F6" i="6"/>
  <c r="G6" i="6"/>
  <c r="E5" i="6"/>
  <c r="F5" i="6"/>
  <c r="G5" i="6"/>
  <c r="G4" i="6"/>
  <c r="E4" i="6"/>
  <c r="F4" i="6"/>
  <c r="A44" i="1"/>
  <c r="A44" i="6" s="1"/>
  <c r="A50" i="1"/>
  <c r="A50" i="6" s="1"/>
  <c r="A48" i="1"/>
  <c r="A48" i="6" s="1"/>
  <c r="A41" i="1"/>
  <c r="A41" i="6" s="1"/>
  <c r="A30" i="1"/>
  <c r="A30" i="6" s="1"/>
  <c r="A28" i="1"/>
  <c r="A28" i="6" s="1"/>
  <c r="A21" i="1"/>
  <c r="A21" i="6" s="1"/>
  <c r="A19" i="1"/>
  <c r="A19" i="6" s="1"/>
  <c r="A51" i="1"/>
  <c r="A51" i="6" s="1"/>
  <c r="A14" i="1"/>
  <c r="A14" i="6" s="1"/>
  <c r="A12" i="1"/>
  <c r="A12" i="6" s="1"/>
  <c r="A5" i="1"/>
  <c r="A5" i="6" s="1"/>
  <c r="A49" i="1"/>
  <c r="A49" i="6" s="1"/>
  <c r="A42" i="1"/>
  <c r="A42" i="6" s="1"/>
  <c r="A40" i="6"/>
  <c r="A33" i="1"/>
  <c r="A26" i="1"/>
  <c r="A26" i="6" s="1"/>
  <c r="A24" i="1"/>
  <c r="A24" i="6" s="1"/>
  <c r="A17" i="1"/>
  <c r="A17" i="6" s="1"/>
  <c r="A10" i="1"/>
  <c r="A10" i="6" s="1"/>
  <c r="A8" i="1"/>
  <c r="A8" i="6" s="1"/>
  <c r="A4" i="6" l="1"/>
  <c r="E65" i="5" s="1"/>
  <c r="A33" i="6"/>
  <c r="F35" i="6"/>
  <c r="G35" i="6"/>
  <c r="E35" i="6"/>
  <c r="E37" i="6"/>
  <c r="F37" i="6"/>
  <c r="G37" i="6"/>
  <c r="D61" i="5"/>
  <c r="E61" i="5"/>
  <c r="E62" i="5"/>
  <c r="D62" i="5"/>
  <c r="C62" i="5"/>
  <c r="A7" i="5"/>
  <c r="A6" i="5" s="1"/>
  <c r="A8" i="5"/>
  <c r="A9" i="5"/>
  <c r="A10" i="5"/>
  <c r="A11" i="5"/>
  <c r="A12" i="5"/>
  <c r="A13" i="5"/>
  <c r="A14" i="5"/>
  <c r="A15" i="5"/>
  <c r="A16" i="5"/>
  <c r="A17" i="5"/>
  <c r="A18" i="5"/>
  <c r="A21" i="5"/>
  <c r="A20" i="5" s="1"/>
  <c r="A22" i="5"/>
  <c r="A23" i="5"/>
  <c r="A24" i="5"/>
  <c r="A25" i="5"/>
  <c r="A26" i="5"/>
  <c r="A27" i="5"/>
  <c r="A28" i="5"/>
  <c r="A29" i="5"/>
  <c r="A30" i="5"/>
  <c r="A31" i="5"/>
  <c r="A32" i="5"/>
  <c r="A35" i="5"/>
  <c r="A34" i="5" s="1"/>
  <c r="A36" i="5"/>
  <c r="A37" i="5"/>
  <c r="A38" i="5"/>
  <c r="A39" i="5"/>
  <c r="A40" i="5"/>
  <c r="A41" i="5"/>
  <c r="A42" i="5"/>
  <c r="C50" i="5" l="1"/>
  <c r="F8" i="3"/>
  <c r="F9" i="3"/>
  <c r="C65" i="5"/>
  <c r="D65" i="5"/>
  <c r="C49" i="5"/>
  <c r="C64" i="5"/>
  <c r="E64" i="5"/>
  <c r="E51" i="5" s="1"/>
  <c r="D64" i="5"/>
  <c r="D51" i="5" s="1"/>
  <c r="E9" i="3"/>
  <c r="E8" i="3"/>
  <c r="I8" i="3" s="1"/>
  <c r="E49" i="5"/>
  <c r="E50" i="5"/>
  <c r="D50" i="5"/>
  <c r="D49" i="5"/>
  <c r="G9" i="3"/>
  <c r="G8" i="3"/>
  <c r="H8" i="3"/>
  <c r="H9" i="3"/>
  <c r="C51" i="5" l="1"/>
  <c r="I9" i="3"/>
</calcChain>
</file>

<file path=xl/sharedStrings.xml><?xml version="1.0" encoding="utf-8"?>
<sst xmlns="http://schemas.openxmlformats.org/spreadsheetml/2006/main" count="101" uniqueCount="42">
  <si>
    <t>Controle para a caixa de seleção do painel</t>
  </si>
  <si>
    <t>Elaboração e cálculos de variações: CEPERJ/CEEP/COPE e COGIN</t>
  </si>
  <si>
    <t>Variações %</t>
  </si>
  <si>
    <t>mês</t>
  </si>
  <si>
    <t>Ano</t>
  </si>
  <si>
    <t>Mês</t>
  </si>
  <si>
    <t>Total do ano</t>
  </si>
  <si>
    <t>Mês escolhido</t>
  </si>
  <si>
    <t>Mês anterior</t>
  </si>
  <si>
    <t>Mesmo mês escolhido, para o ano anterior</t>
  </si>
  <si>
    <t>Acumulado do ano escolhido</t>
  </si>
  <si>
    <t>Acumulado do ano anterior</t>
  </si>
  <si>
    <t>Escolha o ano/mês clicando abaixo</t>
  </si>
  <si>
    <t>Escolha o ano/mês de referência das variações clicando abaixo</t>
  </si>
  <si>
    <t>Indústrias extrativas</t>
  </si>
  <si>
    <t>Indústrias de transformação</t>
  </si>
  <si>
    <t>Período: 2017 a 2019</t>
  </si>
  <si>
    <t>lista_industria</t>
  </si>
  <si>
    <t>lista_comercio</t>
  </si>
  <si>
    <t>lista_serviços</t>
  </si>
  <si>
    <t>Indústria geral com ajuste</t>
  </si>
  <si>
    <t>Indústria geral sem ajustes</t>
  </si>
  <si>
    <t>Fabricação de produtos alimentícios</t>
  </si>
  <si>
    <t>Fabricação de bebidas</t>
  </si>
  <si>
    <t>Impressão e reprodução de gravações</t>
  </si>
  <si>
    <t>Fabricação de coque, de produtos derivados do petróleo e de biocombustíveis</t>
  </si>
  <si>
    <t>Fabricação de outros produtos químicos</t>
  </si>
  <si>
    <t>Fabricação de produtos farmoquímicos e farmacêuticos</t>
  </si>
  <si>
    <t>Fabricação de produtos de borracha e de material plástico</t>
  </si>
  <si>
    <t>Fabricação de produtos de minerais não-metálicos</t>
  </si>
  <si>
    <t>Metalurgia</t>
  </si>
  <si>
    <t>Fabricação de produtos de metal, exceto máquinas e equipamentos</t>
  </si>
  <si>
    <t>Fabricação de veículos automotores, reboques e carrocerias</t>
  </si>
  <si>
    <t>Fabricação de outros equipamentos de transporte, exceto veículos automotores</t>
  </si>
  <si>
    <t>Manutenção, reparação e instalação de máquinas e equipamentos</t>
  </si>
  <si>
    <t>Indicadores de Indústria</t>
  </si>
  <si>
    <t>Indicadores Industria</t>
  </si>
  <si>
    <t>PAINEL DAS VARIAÇÕES DOS INDICADORES ATIVIDADES INDUSTRIAIS DO ESTADO DO RIO DE JANEIRO</t>
  </si>
  <si>
    <t xml:space="preserve">Fonte: IBGE - Pesquisa Industrial Mensal - Produção Física. </t>
  </si>
  <si>
    <t>Indicadores de Atividades Industriais do Estado do Rio de Janeiro</t>
  </si>
  <si>
    <t>Atividades Industriais (CNAE 2.0)</t>
  </si>
  <si>
    <t>Índice de base fixa (base: média de 2012 = 100) (Número-índice)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</si>
</sst>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General_)"/>
  </numFmts>
  <fonts count="2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333333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indexed="64"/>
      <name val="Calibri"/>
      <family val="2"/>
      <scheme val="minor"/>
    </font>
    <font>
      <sz val="8"/>
      <color indexed="6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0" fillId="2" borderId="0" xfId="0" applyFill="1"/>
    <xf numFmtId="17" fontId="0" fillId="0" borderId="0" xfId="0" applyNumberFormat="1"/>
    <xf numFmtId="17" fontId="0" fillId="2" borderId="0" xfId="0" applyNumberFormat="1" applyFill="1"/>
    <xf numFmtId="0" fontId="8" fillId="0" borderId="0" xfId="0" applyFont="1"/>
    <xf numFmtId="0" fontId="12" fillId="0" borderId="0" xfId="0" applyFont="1"/>
    <xf numFmtId="0" fontId="0" fillId="4" borderId="0" xfId="0" applyFont="1" applyFill="1"/>
    <xf numFmtId="17" fontId="0" fillId="4" borderId="0" xfId="0" applyNumberFormat="1" applyFont="1" applyFill="1"/>
    <xf numFmtId="0" fontId="0" fillId="0" borderId="0" xfId="0" applyFont="1"/>
    <xf numFmtId="17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/>
    <xf numFmtId="3" fontId="3" fillId="0" borderId="2" xfId="0" applyNumberFormat="1" applyFont="1" applyFill="1" applyBorder="1" applyAlignment="1">
      <alignment vertical="center"/>
    </xf>
    <xf numFmtId="164" fontId="1" fillId="0" borderId="0" xfId="0" applyNumberFormat="1" applyFont="1" applyBorder="1" applyAlignment="1">
      <alignment horizontal="left"/>
    </xf>
    <xf numFmtId="17" fontId="0" fillId="0" borderId="0" xfId="0" applyNumberFormat="1" applyAlignment="1">
      <alignment horizontal="left"/>
    </xf>
    <xf numFmtId="49" fontId="14" fillId="0" borderId="0" xfId="2" applyNumberFormat="1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/>
    <xf numFmtId="0" fontId="13" fillId="6" borderId="13" xfId="0" applyFont="1" applyFill="1" applyBorder="1" applyAlignment="1">
      <alignment horizontal="left"/>
    </xf>
    <xf numFmtId="0" fontId="13" fillId="6" borderId="14" xfId="0" applyFont="1" applyFill="1" applyBorder="1" applyAlignment="1">
      <alignment horizontal="left"/>
    </xf>
    <xf numFmtId="165" fontId="13" fillId="6" borderId="6" xfId="0" applyNumberFormat="1" applyFont="1" applyFill="1" applyBorder="1" applyAlignment="1">
      <alignment vertical="center"/>
    </xf>
    <xf numFmtId="165" fontId="13" fillId="6" borderId="7" xfId="0" applyNumberFormat="1" applyFont="1" applyFill="1" applyBorder="1" applyAlignment="1">
      <alignment vertical="center"/>
    </xf>
    <xf numFmtId="17" fontId="13" fillId="6" borderId="0" xfId="0" applyNumberFormat="1" applyFont="1" applyFill="1" applyBorder="1" applyAlignment="1">
      <alignment horizontal="center"/>
    </xf>
    <xf numFmtId="17" fontId="15" fillId="6" borderId="0" xfId="0" applyNumberFormat="1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/>
    </xf>
    <xf numFmtId="17" fontId="15" fillId="6" borderId="8" xfId="0" applyNumberFormat="1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 wrapText="1"/>
    </xf>
    <xf numFmtId="3" fontId="19" fillId="9" borderId="0" xfId="2" applyNumberFormat="1" applyFont="1" applyFill="1" applyBorder="1" applyAlignment="1">
      <alignment horizontal="right" vertical="center" wrapText="1"/>
    </xf>
    <xf numFmtId="4" fontId="19" fillId="9" borderId="0" xfId="0" applyNumberFormat="1" applyFont="1" applyFill="1" applyBorder="1" applyAlignment="1">
      <alignment horizontal="right" vertical="center" wrapText="1"/>
    </xf>
    <xf numFmtId="3" fontId="18" fillId="10" borderId="6" xfId="2" applyNumberFormat="1" applyFont="1" applyFill="1" applyBorder="1" applyAlignment="1">
      <alignment horizontal="right" vertical="center" wrapText="1"/>
    </xf>
    <xf numFmtId="4" fontId="18" fillId="10" borderId="6" xfId="0" applyNumberFormat="1" applyFont="1" applyFill="1" applyBorder="1" applyAlignment="1">
      <alignment horizontal="right" vertical="center" wrapText="1"/>
    </xf>
    <xf numFmtId="0" fontId="22" fillId="7" borderId="13" xfId="0" applyFont="1" applyFill="1" applyBorder="1" applyAlignment="1">
      <alignment horizontal="left" vertical="top" wrapText="1"/>
    </xf>
    <xf numFmtId="4" fontId="22" fillId="7" borderId="0" xfId="0" applyNumberFormat="1" applyFont="1" applyFill="1" applyBorder="1" applyAlignment="1">
      <alignment horizontal="right" vertical="top"/>
    </xf>
    <xf numFmtId="4" fontId="22" fillId="7" borderId="5" xfId="0" applyNumberFormat="1" applyFont="1" applyFill="1" applyBorder="1" applyAlignment="1">
      <alignment horizontal="right" vertical="top"/>
    </xf>
    <xf numFmtId="2" fontId="23" fillId="7" borderId="13" xfId="0" applyNumberFormat="1" applyFont="1" applyFill="1" applyBorder="1" applyAlignment="1">
      <alignment horizontal="left" vertical="top" wrapText="1"/>
    </xf>
    <xf numFmtId="0" fontId="23" fillId="7" borderId="14" xfId="0" applyFont="1" applyFill="1" applyBorder="1" applyAlignment="1">
      <alignment horizontal="left" vertical="top" wrapText="1"/>
    </xf>
    <xf numFmtId="4" fontId="22" fillId="7" borderId="6" xfId="0" applyNumberFormat="1" applyFont="1" applyFill="1" applyBorder="1" applyAlignment="1">
      <alignment horizontal="right" vertical="top"/>
    </xf>
    <xf numFmtId="4" fontId="22" fillId="7" borderId="7" xfId="0" applyNumberFormat="1" applyFont="1" applyFill="1" applyBorder="1" applyAlignment="1">
      <alignment horizontal="right" vertical="top"/>
    </xf>
    <xf numFmtId="0" fontId="23" fillId="4" borderId="0" xfId="1" applyFont="1" applyFill="1"/>
    <xf numFmtId="2" fontId="22" fillId="0" borderId="0" xfId="0" applyNumberFormat="1" applyFont="1"/>
    <xf numFmtId="0" fontId="12" fillId="0" borderId="0" xfId="0" applyFont="1" applyAlignment="1">
      <alignment horizontal="left"/>
    </xf>
    <xf numFmtId="17" fontId="7" fillId="2" borderId="2" xfId="1" applyNumberFormat="1" applyFont="1" applyFill="1" applyBorder="1" applyAlignment="1">
      <alignment horizontal="center" vertical="center"/>
    </xf>
    <xf numFmtId="166" fontId="6" fillId="2" borderId="2" xfId="2" applyNumberFormat="1" applyFont="1" applyFill="1" applyBorder="1" applyAlignment="1">
      <alignment horizontal="right" vertical="top"/>
    </xf>
    <xf numFmtId="17" fontId="7" fillId="2" borderId="2" xfId="1" applyNumberFormat="1" applyFont="1" applyFill="1" applyBorder="1" applyAlignment="1">
      <alignment horizontal="center" vertical="center" wrapText="1"/>
    </xf>
    <xf numFmtId="17" fontId="17" fillId="9" borderId="16" xfId="1" applyNumberFormat="1" applyFont="1" applyFill="1" applyBorder="1" applyAlignment="1">
      <alignment horizontal="center" vertical="center"/>
    </xf>
    <xf numFmtId="17" fontId="17" fillId="9" borderId="16" xfId="1" applyNumberFormat="1" applyFont="1" applyFill="1" applyBorder="1" applyAlignment="1">
      <alignment horizontal="center" vertical="center" wrapText="1"/>
    </xf>
    <xf numFmtId="3" fontId="18" fillId="10" borderId="8" xfId="2" applyNumberFormat="1" applyFont="1" applyFill="1" applyBorder="1" applyAlignment="1">
      <alignment horizontal="right" vertical="center" wrapText="1"/>
    </xf>
    <xf numFmtId="4" fontId="18" fillId="10" borderId="8" xfId="0" applyNumberFormat="1" applyFont="1" applyFill="1" applyBorder="1" applyAlignment="1">
      <alignment horizontal="right" vertical="center" wrapText="1"/>
    </xf>
    <xf numFmtId="4" fontId="18" fillId="10" borderId="9" xfId="0" applyNumberFormat="1" applyFont="1" applyFill="1" applyBorder="1" applyAlignment="1">
      <alignment horizontal="right" vertical="center" wrapText="1"/>
    </xf>
    <xf numFmtId="4" fontId="19" fillId="9" borderId="5" xfId="0" applyNumberFormat="1" applyFont="1" applyFill="1" applyBorder="1" applyAlignment="1">
      <alignment horizontal="right" vertical="center" wrapText="1"/>
    </xf>
    <xf numFmtId="4" fontId="18" fillId="10" borderId="7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Border="1"/>
    <xf numFmtId="164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 applyProtection="1">
      <alignment horizontal="left"/>
    </xf>
    <xf numFmtId="167" fontId="3" fillId="0" borderId="0" xfId="0" applyNumberFormat="1" applyFont="1" applyFill="1"/>
    <xf numFmtId="2" fontId="8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4" fontId="24" fillId="0" borderId="0" xfId="0" applyNumberFormat="1" applyFont="1" applyBorder="1"/>
    <xf numFmtId="164" fontId="25" fillId="0" borderId="0" xfId="0" applyNumberFormat="1" applyFont="1" applyBorder="1" applyAlignment="1">
      <alignment horizontal="right"/>
    </xf>
    <xf numFmtId="0" fontId="25" fillId="0" borderId="0" xfId="0" applyFont="1" applyBorder="1"/>
    <xf numFmtId="4" fontId="0" fillId="5" borderId="0" xfId="0" applyNumberFormat="1" applyFill="1"/>
    <xf numFmtId="3" fontId="18" fillId="10" borderId="0" xfId="2" applyNumberFormat="1" applyFont="1" applyFill="1" applyBorder="1" applyAlignment="1">
      <alignment horizontal="right" vertical="center" wrapText="1"/>
    </xf>
    <xf numFmtId="4" fontId="18" fillId="10" borderId="0" xfId="0" applyNumberFormat="1" applyFont="1" applyFill="1" applyBorder="1" applyAlignment="1">
      <alignment horizontal="right" vertical="center" wrapText="1"/>
    </xf>
    <xf numFmtId="165" fontId="18" fillId="10" borderId="8" xfId="2" applyNumberFormat="1" applyFont="1" applyFill="1" applyBorder="1" applyAlignment="1">
      <alignment horizontal="right" vertical="center" wrapText="1"/>
    </xf>
    <xf numFmtId="165" fontId="19" fillId="9" borderId="0" xfId="2" applyNumberFormat="1" applyFont="1" applyFill="1" applyBorder="1" applyAlignment="1">
      <alignment horizontal="right" vertical="center" wrapText="1"/>
    </xf>
    <xf numFmtId="165" fontId="18" fillId="10" borderId="6" xfId="2" applyNumberFormat="1" applyFont="1" applyFill="1" applyBorder="1" applyAlignment="1">
      <alignment horizontal="right" vertical="center" wrapText="1"/>
    </xf>
    <xf numFmtId="165" fontId="18" fillId="10" borderId="0" xfId="2" applyNumberFormat="1" applyFont="1" applyFill="1" applyBorder="1" applyAlignment="1">
      <alignment horizontal="right" vertical="center" wrapText="1"/>
    </xf>
    <xf numFmtId="4" fontId="18" fillId="1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165" fontId="18" fillId="10" borderId="12" xfId="2" applyNumberFormat="1" applyFont="1" applyFill="1" applyBorder="1" applyAlignment="1">
      <alignment horizontal="left" vertical="center" wrapText="1"/>
    </xf>
    <xf numFmtId="165" fontId="18" fillId="10" borderId="13" xfId="2" applyNumberFormat="1" applyFont="1" applyFill="1" applyBorder="1" applyAlignment="1">
      <alignment horizontal="left" vertical="center" wrapText="1"/>
    </xf>
    <xf numFmtId="165" fontId="18" fillId="10" borderId="14" xfId="2" applyNumberFormat="1" applyFont="1" applyFill="1" applyBorder="1" applyAlignment="1">
      <alignment horizontal="left" vertical="center" wrapText="1"/>
    </xf>
    <xf numFmtId="0" fontId="9" fillId="4" borderId="0" xfId="1" applyFont="1" applyFill="1" applyBorder="1" applyAlignment="1">
      <alignment horizontal="left"/>
    </xf>
    <xf numFmtId="0" fontId="10" fillId="4" borderId="0" xfId="1" applyFont="1" applyFill="1" applyAlignment="1">
      <alignment horizontal="left"/>
    </xf>
    <xf numFmtId="0" fontId="8" fillId="0" borderId="0" xfId="0" applyFont="1" applyAlignment="1">
      <alignment horizontal="left"/>
    </xf>
    <xf numFmtId="165" fontId="19" fillId="9" borderId="13" xfId="2" applyNumberFormat="1" applyFont="1" applyFill="1" applyBorder="1" applyAlignment="1">
      <alignment horizontal="left" vertical="center" wrapText="1"/>
    </xf>
    <xf numFmtId="164" fontId="8" fillId="0" borderId="0" xfId="0" applyNumberFormat="1" applyFont="1"/>
    <xf numFmtId="165" fontId="15" fillId="6" borderId="0" xfId="0" applyNumberFormat="1" applyFont="1" applyFill="1" applyBorder="1" applyAlignment="1">
      <alignment vertical="center"/>
    </xf>
    <xf numFmtId="165" fontId="15" fillId="6" borderId="5" xfId="0" applyNumberFormat="1" applyFont="1" applyFill="1" applyBorder="1" applyAlignment="1">
      <alignment vertical="center"/>
    </xf>
    <xf numFmtId="165" fontId="13" fillId="6" borderId="0" xfId="0" applyNumberFormat="1" applyFont="1" applyFill="1" applyBorder="1" applyAlignment="1">
      <alignment vertical="center"/>
    </xf>
    <xf numFmtId="165" fontId="13" fillId="6" borderId="5" xfId="0" applyNumberFormat="1" applyFont="1" applyFill="1" applyBorder="1" applyAlignment="1">
      <alignment vertical="center"/>
    </xf>
    <xf numFmtId="0" fontId="13" fillId="0" borderId="0" xfId="0" applyFont="1" applyAlignment="1">
      <alignment horizontal="left"/>
    </xf>
    <xf numFmtId="4" fontId="6" fillId="2" borderId="2" xfId="2" applyNumberFormat="1" applyFont="1" applyFill="1" applyBorder="1" applyAlignment="1">
      <alignment horizontal="right" vertical="top"/>
    </xf>
    <xf numFmtId="0" fontId="21" fillId="13" borderId="13" xfId="1" applyFont="1" applyFill="1" applyBorder="1" applyAlignment="1">
      <alignment horizontal="left" vertical="center"/>
    </xf>
    <xf numFmtId="0" fontId="22" fillId="13" borderId="0" xfId="0" applyFont="1" applyFill="1" applyBorder="1"/>
    <xf numFmtId="0" fontId="13" fillId="13" borderId="0" xfId="0" applyFont="1" applyFill="1" applyBorder="1"/>
    <xf numFmtId="0" fontId="13" fillId="13" borderId="5" xfId="0" applyFont="1" applyFill="1" applyBorder="1"/>
    <xf numFmtId="165" fontId="15" fillId="6" borderId="8" xfId="0" applyNumberFormat="1" applyFont="1" applyFill="1" applyBorder="1" applyAlignment="1">
      <alignment vertical="center"/>
    </xf>
    <xf numFmtId="165" fontId="15" fillId="6" borderId="9" xfId="0" applyNumberFormat="1" applyFont="1" applyFill="1" applyBorder="1" applyAlignment="1">
      <alignment vertical="center"/>
    </xf>
    <xf numFmtId="17" fontId="13" fillId="6" borderId="6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64" fontId="1" fillId="0" borderId="20" xfId="0" applyNumberFormat="1" applyFont="1" applyBorder="1"/>
    <xf numFmtId="164" fontId="24" fillId="0" borderId="20" xfId="0" applyNumberFormat="1" applyFont="1" applyBorder="1"/>
    <xf numFmtId="0" fontId="7" fillId="11" borderId="12" xfId="0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7" fillId="11" borderId="9" xfId="0" applyFont="1" applyFill="1" applyBorder="1" applyAlignment="1">
      <alignment horizontal="center"/>
    </xf>
    <xf numFmtId="17" fontId="0" fillId="12" borderId="14" xfId="0" applyNumberFormat="1" applyFill="1" applyBorder="1" applyAlignment="1">
      <alignment horizontal="center" vertical="center"/>
    </xf>
    <xf numFmtId="17" fontId="0" fillId="12" borderId="6" xfId="0" applyNumberFormat="1" applyFill="1" applyBorder="1" applyAlignment="1">
      <alignment horizontal="center" vertical="center"/>
    </xf>
    <xf numFmtId="17" fontId="0" fillId="12" borderId="7" xfId="0" applyNumberForma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8" borderId="12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/>
    </xf>
    <xf numFmtId="17" fontId="7" fillId="9" borderId="16" xfId="1" applyNumberFormat="1" applyFont="1" applyFill="1" applyBorder="1" applyAlignment="1">
      <alignment horizontal="left" vertical="center"/>
    </xf>
    <xf numFmtId="17" fontId="7" fillId="9" borderId="18" xfId="1" applyNumberFormat="1" applyFont="1" applyFill="1" applyBorder="1" applyAlignment="1">
      <alignment horizontal="left" vertical="center"/>
    </xf>
    <xf numFmtId="0" fontId="17" fillId="9" borderId="3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7" fontId="17" fillId="9" borderId="2" xfId="1" applyNumberFormat="1" applyFont="1" applyFill="1" applyBorder="1" applyAlignment="1">
      <alignment horizontal="center" vertical="center" wrapText="1"/>
    </xf>
    <xf numFmtId="17" fontId="17" fillId="9" borderId="16" xfId="1" applyNumberFormat="1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17" fontId="0" fillId="12" borderId="13" xfId="0" applyNumberFormat="1" applyFill="1" applyBorder="1" applyAlignment="1">
      <alignment horizontal="center" vertical="center"/>
    </xf>
    <xf numFmtId="17" fontId="0" fillId="12" borderId="0" xfId="0" applyNumberForma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left" vertical="center"/>
    </xf>
    <xf numFmtId="0" fontId="13" fillId="3" borderId="22" xfId="0" applyFont="1" applyFill="1" applyBorder="1" applyAlignment="1">
      <alignment horizontal="left" vertical="center"/>
    </xf>
    <xf numFmtId="0" fontId="14" fillId="3" borderId="2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5" xfId="1"/>
    <cellStyle name="Vírgula" xfId="2" builtinId="3"/>
  </cellStyles>
  <dxfs count="0"/>
  <tableStyles count="0" defaultTableStyle="TableStyleMedium2" defaultPivotStyle="PivotStyleLight16"/>
  <colors>
    <mruColors>
      <color rgb="FFCAE2BC"/>
      <color rgb="FFBAD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topLeftCell="A3" workbookViewId="0">
      <selection activeCell="F34" sqref="F34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x14ac:dyDescent="0.25">
      <c r="E2" t="s">
        <v>17</v>
      </c>
      <c r="H2" t="s">
        <v>18</v>
      </c>
      <c r="J2" t="s">
        <v>19</v>
      </c>
    </row>
    <row r="3" spans="1:10" x14ac:dyDescent="0.25">
      <c r="A3" s="2"/>
      <c r="B3" s="4"/>
      <c r="D3" s="3"/>
      <c r="E3" s="4">
        <v>42736</v>
      </c>
      <c r="F3" s="2"/>
      <c r="G3" s="2"/>
      <c r="H3" s="4">
        <v>42736</v>
      </c>
      <c r="J3" s="4">
        <v>42736</v>
      </c>
    </row>
    <row r="4" spans="1:10" x14ac:dyDescent="0.25">
      <c r="A4" s="2"/>
      <c r="B4" s="4"/>
      <c r="E4" s="4">
        <v>42767</v>
      </c>
      <c r="F4" s="2"/>
      <c r="G4" s="2"/>
      <c r="H4" s="4">
        <v>42767</v>
      </c>
      <c r="J4" s="4">
        <v>42767</v>
      </c>
    </row>
    <row r="5" spans="1:10" x14ac:dyDescent="0.25">
      <c r="A5" s="2"/>
      <c r="B5" s="4"/>
      <c r="E5" s="4">
        <v>42795</v>
      </c>
      <c r="H5" s="4">
        <v>42795</v>
      </c>
      <c r="J5" s="4">
        <v>42795</v>
      </c>
    </row>
    <row r="6" spans="1:10" x14ac:dyDescent="0.25">
      <c r="A6" s="2"/>
      <c r="B6" s="4"/>
      <c r="E6" s="4">
        <v>42826</v>
      </c>
      <c r="H6" s="4">
        <v>42826</v>
      </c>
      <c r="J6" s="4">
        <v>42826</v>
      </c>
    </row>
    <row r="7" spans="1:10" x14ac:dyDescent="0.25">
      <c r="A7" s="2"/>
      <c r="B7" s="4"/>
      <c r="E7" s="4">
        <v>42856</v>
      </c>
      <c r="H7" s="4">
        <v>42856</v>
      </c>
      <c r="J7" s="4">
        <v>42856</v>
      </c>
    </row>
    <row r="8" spans="1:10" x14ac:dyDescent="0.25">
      <c r="A8" s="2"/>
      <c r="B8" s="4"/>
      <c r="E8" s="4">
        <v>42887</v>
      </c>
      <c r="H8" s="4">
        <v>42887</v>
      </c>
      <c r="J8" s="4">
        <v>42887</v>
      </c>
    </row>
    <row r="9" spans="1:10" x14ac:dyDescent="0.25">
      <c r="A9" s="2"/>
      <c r="B9" s="4"/>
      <c r="E9" s="4">
        <v>42917</v>
      </c>
      <c r="H9" s="4">
        <v>42917</v>
      </c>
      <c r="J9" s="4">
        <v>42917</v>
      </c>
    </row>
    <row r="10" spans="1:10" x14ac:dyDescent="0.25">
      <c r="A10" s="2"/>
      <c r="B10" s="4"/>
      <c r="E10" s="4">
        <v>42948</v>
      </c>
      <c r="H10" s="4">
        <v>42948</v>
      </c>
      <c r="J10" s="4">
        <v>42948</v>
      </c>
    </row>
    <row r="11" spans="1:10" x14ac:dyDescent="0.25">
      <c r="A11" s="2"/>
      <c r="B11" s="4"/>
      <c r="E11" s="4">
        <v>42979</v>
      </c>
      <c r="H11" s="4">
        <v>42979</v>
      </c>
      <c r="J11" s="4">
        <v>42979</v>
      </c>
    </row>
    <row r="12" spans="1:10" x14ac:dyDescent="0.25">
      <c r="A12" s="2"/>
      <c r="B12" s="4"/>
      <c r="E12" s="4">
        <v>43009</v>
      </c>
      <c r="H12" s="4">
        <v>43009</v>
      </c>
      <c r="J12" s="4">
        <v>43009</v>
      </c>
    </row>
    <row r="13" spans="1:10" x14ac:dyDescent="0.25">
      <c r="A13" s="2"/>
      <c r="B13" s="4"/>
      <c r="E13" s="4">
        <v>43040</v>
      </c>
      <c r="H13" s="4">
        <v>43040</v>
      </c>
      <c r="J13" s="4">
        <v>43040</v>
      </c>
    </row>
    <row r="14" spans="1:10" x14ac:dyDescent="0.25">
      <c r="A14" s="2"/>
      <c r="B14" s="4"/>
      <c r="E14" s="4">
        <v>43070</v>
      </c>
      <c r="H14" s="4">
        <v>43070</v>
      </c>
      <c r="J14" s="4">
        <v>43070</v>
      </c>
    </row>
    <row r="15" spans="1:10" x14ac:dyDescent="0.25">
      <c r="A15" s="2"/>
      <c r="B15" s="4"/>
      <c r="E15" s="4">
        <v>43101</v>
      </c>
      <c r="H15" s="4">
        <v>43101</v>
      </c>
      <c r="J15" s="4">
        <v>43101</v>
      </c>
    </row>
    <row r="16" spans="1:10" x14ac:dyDescent="0.25">
      <c r="A16" s="2"/>
      <c r="B16" s="4"/>
      <c r="E16" s="4">
        <v>43132</v>
      </c>
      <c r="H16" s="4">
        <v>43132</v>
      </c>
      <c r="J16" s="4">
        <v>43132</v>
      </c>
    </row>
    <row r="17" spans="1:10" x14ac:dyDescent="0.25">
      <c r="A17" s="2"/>
      <c r="B17" s="4"/>
      <c r="E17" s="4">
        <v>43160</v>
      </c>
      <c r="H17" s="4">
        <v>43160</v>
      </c>
      <c r="J17" s="4">
        <v>43160</v>
      </c>
    </row>
    <row r="18" spans="1:10" x14ac:dyDescent="0.25">
      <c r="A18" s="2"/>
      <c r="B18" s="4"/>
      <c r="E18" s="4">
        <v>43191</v>
      </c>
      <c r="H18" s="4">
        <v>43191</v>
      </c>
      <c r="J18" s="4">
        <v>43191</v>
      </c>
    </row>
    <row r="19" spans="1:10" x14ac:dyDescent="0.25">
      <c r="A19" s="2"/>
      <c r="B19" s="4"/>
      <c r="E19" s="4">
        <v>43221</v>
      </c>
      <c r="H19" s="4">
        <v>43221</v>
      </c>
      <c r="J19" s="4">
        <v>43221</v>
      </c>
    </row>
    <row r="20" spans="1:10" x14ac:dyDescent="0.25">
      <c r="A20" s="2"/>
      <c r="B20" s="4"/>
      <c r="E20" s="4">
        <v>43252</v>
      </c>
      <c r="H20" s="4">
        <v>43252</v>
      </c>
      <c r="J20" s="4">
        <v>43252</v>
      </c>
    </row>
    <row r="21" spans="1:10" x14ac:dyDescent="0.25">
      <c r="A21" s="2"/>
      <c r="B21" s="4"/>
      <c r="E21" s="4">
        <v>43282</v>
      </c>
      <c r="H21" s="4">
        <v>43282</v>
      </c>
      <c r="J21" s="4">
        <v>43282</v>
      </c>
    </row>
    <row r="22" spans="1:10" x14ac:dyDescent="0.25">
      <c r="A22" s="2"/>
      <c r="B22" s="4"/>
      <c r="E22" s="4">
        <v>43313</v>
      </c>
      <c r="H22" s="4">
        <v>43313</v>
      </c>
      <c r="J22" s="4">
        <v>43313</v>
      </c>
    </row>
    <row r="23" spans="1:10" x14ac:dyDescent="0.25">
      <c r="A23" s="2"/>
      <c r="B23" s="4"/>
      <c r="E23" s="4">
        <v>43344</v>
      </c>
      <c r="H23" s="4">
        <v>43344</v>
      </c>
      <c r="J23" s="4">
        <v>43344</v>
      </c>
    </row>
    <row r="24" spans="1:10" x14ac:dyDescent="0.25">
      <c r="A24" s="2"/>
      <c r="B24" s="4"/>
      <c r="E24" s="4">
        <v>43374</v>
      </c>
      <c r="H24" s="4">
        <v>43374</v>
      </c>
      <c r="J24" s="4">
        <v>43374</v>
      </c>
    </row>
    <row r="25" spans="1:10" x14ac:dyDescent="0.25">
      <c r="A25" s="2"/>
      <c r="B25" s="4"/>
      <c r="E25" s="4">
        <v>43405</v>
      </c>
      <c r="H25" s="4">
        <v>43405</v>
      </c>
      <c r="J25" s="4">
        <v>43405</v>
      </c>
    </row>
    <row r="26" spans="1:10" x14ac:dyDescent="0.25">
      <c r="A26" s="2"/>
      <c r="B26" s="4"/>
      <c r="E26" s="4">
        <v>43435</v>
      </c>
      <c r="H26" s="4">
        <v>43435</v>
      </c>
      <c r="J26" s="4">
        <v>43435</v>
      </c>
    </row>
    <row r="27" spans="1:10" x14ac:dyDescent="0.25">
      <c r="A27" s="2"/>
      <c r="B27" s="4"/>
      <c r="E27" s="4">
        <v>43466</v>
      </c>
      <c r="H27" s="4">
        <v>43466</v>
      </c>
      <c r="J27" s="4">
        <v>43466</v>
      </c>
    </row>
    <row r="28" spans="1:10" x14ac:dyDescent="0.25">
      <c r="A28" s="2"/>
      <c r="B28" s="4"/>
      <c r="E28" s="4">
        <v>43497</v>
      </c>
      <c r="H28" s="4">
        <v>43497</v>
      </c>
      <c r="J28" s="4">
        <v>43497</v>
      </c>
    </row>
    <row r="29" spans="1:10" x14ac:dyDescent="0.25">
      <c r="A29" s="2"/>
      <c r="B29" s="4"/>
      <c r="E29" s="4">
        <v>43525</v>
      </c>
      <c r="H29" s="4">
        <v>43525</v>
      </c>
      <c r="J29" s="4">
        <v>43525</v>
      </c>
    </row>
    <row r="30" spans="1:10" x14ac:dyDescent="0.25">
      <c r="A30" s="2"/>
      <c r="B30" s="4"/>
      <c r="E30" s="4">
        <v>43556</v>
      </c>
      <c r="H30" s="4">
        <v>43556</v>
      </c>
      <c r="J30" s="4">
        <v>43556</v>
      </c>
    </row>
    <row r="31" spans="1:10" x14ac:dyDescent="0.25">
      <c r="A31" s="2"/>
      <c r="B31" s="4"/>
      <c r="E31" s="4">
        <v>43586</v>
      </c>
      <c r="H31" s="4">
        <v>43586</v>
      </c>
      <c r="J31" s="4">
        <v>43586</v>
      </c>
    </row>
    <row r="32" spans="1:10" x14ac:dyDescent="0.25">
      <c r="A32" s="2"/>
      <c r="B32" s="4"/>
      <c r="E32" s="4">
        <v>43617</v>
      </c>
      <c r="H32" s="4">
        <v>43617</v>
      </c>
      <c r="J32" s="4">
        <v>43617</v>
      </c>
    </row>
    <row r="33" spans="1:10" x14ac:dyDescent="0.25">
      <c r="A33" s="2"/>
      <c r="B33" s="4"/>
      <c r="E33" s="4">
        <v>43647</v>
      </c>
      <c r="H33" s="4">
        <v>43647</v>
      </c>
      <c r="J33" s="4">
        <v>43647</v>
      </c>
    </row>
    <row r="34" spans="1:10" x14ac:dyDescent="0.25">
      <c r="A34" s="2"/>
      <c r="B34" s="4"/>
      <c r="E34" s="4">
        <v>43678</v>
      </c>
      <c r="H34" s="4">
        <v>43678</v>
      </c>
      <c r="J34" s="4">
        <v>43678</v>
      </c>
    </row>
    <row r="35" spans="1:10" x14ac:dyDescent="0.25">
      <c r="A35" s="2"/>
      <c r="B35" s="4"/>
      <c r="E35" s="4">
        <v>43709</v>
      </c>
      <c r="H35" s="4">
        <v>43709</v>
      </c>
      <c r="J35" s="4">
        <v>43709</v>
      </c>
    </row>
    <row r="36" spans="1:10" x14ac:dyDescent="0.25">
      <c r="A36" s="2"/>
      <c r="B36" s="4"/>
      <c r="E36" s="4">
        <v>43739</v>
      </c>
      <c r="H36" s="4">
        <v>43739</v>
      </c>
      <c r="J36" s="4">
        <v>43739</v>
      </c>
    </row>
    <row r="37" spans="1:10" x14ac:dyDescent="0.25">
      <c r="A37" s="2"/>
      <c r="B37" s="4"/>
      <c r="E37" s="4">
        <v>43770</v>
      </c>
      <c r="H37" s="4">
        <v>43770</v>
      </c>
      <c r="J37" s="4">
        <v>43770</v>
      </c>
    </row>
    <row r="38" spans="1:10" x14ac:dyDescent="0.25">
      <c r="A38" s="2"/>
      <c r="B38" s="4"/>
      <c r="E38" s="4">
        <v>43800</v>
      </c>
      <c r="H38" s="4">
        <v>43800</v>
      </c>
      <c r="J38" s="4">
        <v>43800</v>
      </c>
    </row>
    <row r="39" spans="1:10" x14ac:dyDescent="0.25">
      <c r="A39" s="2"/>
      <c r="B39" s="4"/>
      <c r="E39" s="4"/>
      <c r="H39" s="4"/>
    </row>
    <row r="40" spans="1:10" x14ac:dyDescent="0.25">
      <c r="A40" s="2"/>
      <c r="B40" s="4"/>
      <c r="E40" s="4"/>
      <c r="H40" s="4"/>
    </row>
    <row r="41" spans="1:10" x14ac:dyDescent="0.25">
      <c r="A41" s="2"/>
      <c r="B41" s="4"/>
      <c r="E41" s="4"/>
      <c r="H41" s="4"/>
    </row>
    <row r="42" spans="1:10" x14ac:dyDescent="0.25">
      <c r="A42" s="2"/>
      <c r="B42" s="4"/>
      <c r="E42" s="4"/>
      <c r="H42" s="4"/>
    </row>
    <row r="43" spans="1:10" x14ac:dyDescent="0.25">
      <c r="A43" s="2"/>
      <c r="B43" s="4"/>
      <c r="E43" s="4"/>
      <c r="H43" s="4"/>
    </row>
    <row r="44" spans="1:10" x14ac:dyDescent="0.25">
      <c r="A44" s="2"/>
      <c r="B44" s="4"/>
      <c r="E44" s="4"/>
      <c r="H44" s="4"/>
    </row>
    <row r="45" spans="1:10" x14ac:dyDescent="0.25">
      <c r="A45" s="2"/>
      <c r="B45" s="4"/>
    </row>
    <row r="46" spans="1:10" x14ac:dyDescent="0.25">
      <c r="A46" s="2"/>
      <c r="B46" s="4"/>
    </row>
    <row r="47" spans="1:10" x14ac:dyDescent="0.25">
      <c r="A47" s="2"/>
      <c r="B47" s="4"/>
    </row>
    <row r="48" spans="1:10" x14ac:dyDescent="0.25">
      <c r="A48" s="2"/>
      <c r="B48" s="4"/>
    </row>
    <row r="49" spans="1:2" x14ac:dyDescent="0.25">
      <c r="A49" s="2"/>
      <c r="B49" s="4"/>
    </row>
    <row r="50" spans="1:2" x14ac:dyDescent="0.25">
      <c r="A50" s="2"/>
      <c r="B50" s="4"/>
    </row>
    <row r="51" spans="1:2" x14ac:dyDescent="0.25">
      <c r="A51" s="2"/>
      <c r="B51" s="4"/>
    </row>
    <row r="52" spans="1:2" x14ac:dyDescent="0.25">
      <c r="A52" s="2"/>
      <c r="B52" s="4"/>
    </row>
    <row r="53" spans="1:2" x14ac:dyDescent="0.25">
      <c r="A53" s="2"/>
      <c r="B53" s="4"/>
    </row>
    <row r="54" spans="1:2" x14ac:dyDescent="0.25">
      <c r="A54" s="2"/>
      <c r="B54" s="4"/>
    </row>
    <row r="55" spans="1:2" x14ac:dyDescent="0.25">
      <c r="A55" s="2"/>
      <c r="B55" s="4"/>
    </row>
    <row r="56" spans="1:2" x14ac:dyDescent="0.25">
      <c r="A56" s="2"/>
      <c r="B56" s="4"/>
    </row>
    <row r="57" spans="1:2" x14ac:dyDescent="0.25">
      <c r="A57" s="2"/>
      <c r="B57" s="4"/>
    </row>
    <row r="58" spans="1:2" x14ac:dyDescent="0.25">
      <c r="A58" s="2"/>
      <c r="B58" s="4"/>
    </row>
    <row r="59" spans="1:2" x14ac:dyDescent="0.25">
      <c r="A59" s="2"/>
      <c r="B59" s="4"/>
    </row>
    <row r="60" spans="1:2" x14ac:dyDescent="0.25">
      <c r="A60" s="2"/>
      <c r="B60" s="4"/>
    </row>
    <row r="61" spans="1:2" x14ac:dyDescent="0.25">
      <c r="A61" s="2"/>
      <c r="B61" s="4"/>
    </row>
    <row r="62" spans="1:2" x14ac:dyDescent="0.25">
      <c r="A62" s="2"/>
      <c r="B62" s="4"/>
    </row>
    <row r="63" spans="1:2" x14ac:dyDescent="0.25">
      <c r="A63" s="2"/>
      <c r="B63" s="4"/>
    </row>
    <row r="64" spans="1:2" x14ac:dyDescent="0.25">
      <c r="A64" s="2"/>
      <c r="B64" s="4"/>
    </row>
    <row r="65" spans="1:2" x14ac:dyDescent="0.25">
      <c r="A65" s="2"/>
      <c r="B65" s="4"/>
    </row>
    <row r="66" spans="1:2" x14ac:dyDescent="0.25">
      <c r="A66" s="2"/>
      <c r="B66" s="4"/>
    </row>
    <row r="67" spans="1:2" x14ac:dyDescent="0.25">
      <c r="A67" s="2"/>
      <c r="B67" s="4"/>
    </row>
    <row r="68" spans="1:2" x14ac:dyDescent="0.25">
      <c r="A68" s="2"/>
      <c r="B68" s="4"/>
    </row>
    <row r="69" spans="1:2" x14ac:dyDescent="0.25">
      <c r="A69" s="2"/>
      <c r="B69" s="4"/>
    </row>
    <row r="70" spans="1:2" x14ac:dyDescent="0.25">
      <c r="A70" s="2"/>
      <c r="B70" s="4"/>
    </row>
    <row r="71" spans="1:2" x14ac:dyDescent="0.25">
      <c r="A71" s="2"/>
      <c r="B71" s="4"/>
    </row>
    <row r="72" spans="1:2" x14ac:dyDescent="0.25">
      <c r="A72" s="2"/>
      <c r="B72" s="4"/>
    </row>
    <row r="73" spans="1:2" x14ac:dyDescent="0.25">
      <c r="A73" s="2"/>
      <c r="B73" s="4"/>
    </row>
    <row r="74" spans="1:2" x14ac:dyDescent="0.25">
      <c r="A74" s="2"/>
      <c r="B74" s="4"/>
    </row>
    <row r="75" spans="1:2" x14ac:dyDescent="0.25">
      <c r="A75" s="2"/>
      <c r="B75" s="4"/>
    </row>
    <row r="76" spans="1:2" x14ac:dyDescent="0.25">
      <c r="A76" s="2"/>
      <c r="B76" s="4"/>
    </row>
    <row r="77" spans="1:2" x14ac:dyDescent="0.25">
      <c r="A77" s="2"/>
      <c r="B77" s="4"/>
    </row>
    <row r="78" spans="1:2" x14ac:dyDescent="0.25">
      <c r="A78" s="2"/>
      <c r="B78" s="4"/>
    </row>
    <row r="79" spans="1:2" x14ac:dyDescent="0.25">
      <c r="A79" s="2"/>
      <c r="B79" s="4"/>
    </row>
    <row r="80" spans="1:2" x14ac:dyDescent="0.25">
      <c r="A80" s="2"/>
      <c r="B80" s="4"/>
    </row>
    <row r="81" spans="1:2" x14ac:dyDescent="0.25">
      <c r="A81" s="2"/>
      <c r="B81" s="4"/>
    </row>
    <row r="82" spans="1:2" x14ac:dyDescent="0.25">
      <c r="A82" s="2"/>
      <c r="B82" s="4"/>
    </row>
    <row r="83" spans="1:2" x14ac:dyDescent="0.25">
      <c r="A83" s="2"/>
      <c r="B83" s="4"/>
    </row>
    <row r="84" spans="1:2" x14ac:dyDescent="0.25">
      <c r="A84" s="2"/>
      <c r="B84" s="4"/>
    </row>
    <row r="85" spans="1:2" x14ac:dyDescent="0.25">
      <c r="A85" s="2"/>
      <c r="B85" s="4"/>
    </row>
    <row r="86" spans="1:2" x14ac:dyDescent="0.25">
      <c r="A86" s="2"/>
      <c r="B86" s="4"/>
    </row>
    <row r="87" spans="1:2" x14ac:dyDescent="0.25">
      <c r="A87" s="2"/>
      <c r="B87" s="4"/>
    </row>
    <row r="88" spans="1:2" x14ac:dyDescent="0.25">
      <c r="A88" s="2"/>
      <c r="B88" s="4"/>
    </row>
    <row r="89" spans="1:2" x14ac:dyDescent="0.25">
      <c r="A89" s="2"/>
      <c r="B89" s="4"/>
    </row>
    <row r="90" spans="1:2" x14ac:dyDescent="0.25">
      <c r="A90" s="2"/>
      <c r="B90" s="4"/>
    </row>
    <row r="91" spans="1:2" x14ac:dyDescent="0.25">
      <c r="A91" s="2"/>
      <c r="B91" s="4"/>
    </row>
    <row r="92" spans="1:2" x14ac:dyDescent="0.25">
      <c r="A92" s="2"/>
      <c r="B92" s="4"/>
    </row>
    <row r="93" spans="1:2" x14ac:dyDescent="0.25">
      <c r="A93" s="2"/>
      <c r="B93" s="4"/>
    </row>
    <row r="94" spans="1:2" x14ac:dyDescent="0.25">
      <c r="A94" s="2"/>
      <c r="B94" s="4"/>
    </row>
    <row r="95" spans="1:2" x14ac:dyDescent="0.25">
      <c r="A95" s="2"/>
      <c r="B95" s="4"/>
    </row>
    <row r="96" spans="1:2" x14ac:dyDescent="0.25">
      <c r="A96" s="2"/>
      <c r="B96" s="4"/>
    </row>
    <row r="97" spans="1:2" x14ac:dyDescent="0.25">
      <c r="A97" s="2"/>
      <c r="B97" s="4"/>
    </row>
    <row r="98" spans="1:2" x14ac:dyDescent="0.25">
      <c r="A98" s="2"/>
      <c r="B98" s="4"/>
    </row>
    <row r="99" spans="1:2" x14ac:dyDescent="0.25">
      <c r="A99" s="2"/>
      <c r="B99" s="4"/>
    </row>
    <row r="100" spans="1:2" x14ac:dyDescent="0.25">
      <c r="A100" s="2"/>
      <c r="B100" s="4"/>
    </row>
    <row r="101" spans="1:2" x14ac:dyDescent="0.25">
      <c r="A101" s="2"/>
      <c r="B101" s="4"/>
    </row>
    <row r="102" spans="1:2" x14ac:dyDescent="0.25">
      <c r="A102" s="2"/>
      <c r="B102" s="4"/>
    </row>
    <row r="103" spans="1:2" x14ac:dyDescent="0.25">
      <c r="A103" s="2"/>
      <c r="B103" s="4"/>
    </row>
    <row r="104" spans="1:2" x14ac:dyDescent="0.25">
      <c r="A104" s="2"/>
      <c r="B104" s="4"/>
    </row>
    <row r="105" spans="1:2" x14ac:dyDescent="0.25">
      <c r="A105" s="2"/>
      <c r="B105" s="4"/>
    </row>
    <row r="106" spans="1:2" x14ac:dyDescent="0.25">
      <c r="A106" s="2"/>
      <c r="B106" s="4"/>
    </row>
    <row r="107" spans="1:2" x14ac:dyDescent="0.25">
      <c r="A107" s="2"/>
      <c r="B107" s="4"/>
    </row>
    <row r="108" spans="1:2" x14ac:dyDescent="0.25">
      <c r="A108" s="2"/>
      <c r="B108" s="4"/>
    </row>
    <row r="109" spans="1:2" x14ac:dyDescent="0.25">
      <c r="A109" s="2"/>
      <c r="B109" s="4"/>
    </row>
    <row r="110" spans="1:2" x14ac:dyDescent="0.25">
      <c r="A110" s="2"/>
      <c r="B110" s="4"/>
    </row>
    <row r="111" spans="1:2" x14ac:dyDescent="0.25">
      <c r="A111" s="2"/>
      <c r="B111" s="4"/>
    </row>
    <row r="112" spans="1:2" x14ac:dyDescent="0.25">
      <c r="A112" s="2"/>
      <c r="B112" s="4"/>
    </row>
    <row r="113" spans="1:2" x14ac:dyDescent="0.25">
      <c r="A113" s="2"/>
      <c r="B113" s="4"/>
    </row>
    <row r="114" spans="1:2" x14ac:dyDescent="0.25">
      <c r="A114" s="2"/>
      <c r="B114" s="4"/>
    </row>
    <row r="115" spans="1:2" x14ac:dyDescent="0.25">
      <c r="A115" s="2"/>
      <c r="B115" s="4"/>
    </row>
    <row r="116" spans="1:2" x14ac:dyDescent="0.25">
      <c r="A116" s="2"/>
      <c r="B116" s="4"/>
    </row>
    <row r="117" spans="1:2" x14ac:dyDescent="0.25">
      <c r="A117" s="2"/>
      <c r="B117" s="4"/>
    </row>
    <row r="118" spans="1:2" x14ac:dyDescent="0.25">
      <c r="A118" s="2"/>
      <c r="B118" s="4"/>
    </row>
    <row r="119" spans="1:2" x14ac:dyDescent="0.25">
      <c r="A119" s="2"/>
      <c r="B119" s="4"/>
    </row>
    <row r="120" spans="1:2" x14ac:dyDescent="0.25">
      <c r="A120" s="2"/>
      <c r="B120" s="4"/>
    </row>
    <row r="121" spans="1:2" x14ac:dyDescent="0.25">
      <c r="A121" s="2"/>
      <c r="B121" s="4"/>
    </row>
    <row r="122" spans="1:2" x14ac:dyDescent="0.25">
      <c r="A122" s="2"/>
      <c r="B122" s="4"/>
    </row>
    <row r="123" spans="1:2" x14ac:dyDescent="0.25">
      <c r="A123" s="2"/>
      <c r="B123" s="4"/>
    </row>
    <row r="124" spans="1:2" x14ac:dyDescent="0.25">
      <c r="A124" s="2"/>
      <c r="B124" s="4"/>
    </row>
    <row r="125" spans="1:2" x14ac:dyDescent="0.25">
      <c r="A125" s="2"/>
      <c r="B125" s="4"/>
    </row>
    <row r="126" spans="1:2" x14ac:dyDescent="0.25">
      <c r="A126" s="2"/>
      <c r="B126" s="4"/>
    </row>
    <row r="127" spans="1:2" x14ac:dyDescent="0.25">
      <c r="A127" s="2"/>
      <c r="B127" s="4"/>
    </row>
    <row r="128" spans="1:2" x14ac:dyDescent="0.25">
      <c r="A128" s="2"/>
      <c r="B128" s="4"/>
    </row>
    <row r="129" spans="1:2" x14ac:dyDescent="0.25">
      <c r="A129" s="2"/>
      <c r="B129" s="4"/>
    </row>
    <row r="130" spans="1:2" x14ac:dyDescent="0.25">
      <c r="A130" s="2"/>
      <c r="B130" s="4"/>
    </row>
    <row r="131" spans="1:2" x14ac:dyDescent="0.25">
      <c r="A131" s="2"/>
      <c r="B131" s="4"/>
    </row>
    <row r="132" spans="1:2" x14ac:dyDescent="0.25">
      <c r="A132" s="2"/>
      <c r="B132" s="4"/>
    </row>
    <row r="133" spans="1:2" x14ac:dyDescent="0.25">
      <c r="A133" s="2"/>
      <c r="B133" s="4"/>
    </row>
    <row r="134" spans="1:2" x14ac:dyDescent="0.25">
      <c r="A134" s="2"/>
      <c r="B134" s="4"/>
    </row>
    <row r="135" spans="1:2" x14ac:dyDescent="0.25">
      <c r="A135" s="2"/>
      <c r="B135" s="4"/>
    </row>
    <row r="136" spans="1:2" x14ac:dyDescent="0.25">
      <c r="A136" s="2"/>
      <c r="B136" s="4"/>
    </row>
    <row r="137" spans="1:2" x14ac:dyDescent="0.25">
      <c r="A137" s="2"/>
      <c r="B137" s="4"/>
    </row>
    <row r="138" spans="1:2" x14ac:dyDescent="0.25">
      <c r="A138" s="2"/>
      <c r="B138" s="4"/>
    </row>
    <row r="139" spans="1:2" x14ac:dyDescent="0.25">
      <c r="A139" s="2"/>
      <c r="B139" s="4"/>
    </row>
    <row r="140" spans="1:2" x14ac:dyDescent="0.25">
      <c r="A140" s="2"/>
      <c r="B140" s="4"/>
    </row>
    <row r="141" spans="1:2" x14ac:dyDescent="0.25">
      <c r="A141" s="2"/>
      <c r="B141" s="4"/>
    </row>
    <row r="142" spans="1:2" x14ac:dyDescent="0.25">
      <c r="A142" s="2"/>
      <c r="B142" s="4"/>
    </row>
    <row r="143" spans="1:2" x14ac:dyDescent="0.25">
      <c r="A143" s="2"/>
      <c r="B143" s="4"/>
    </row>
    <row r="144" spans="1:2" x14ac:dyDescent="0.25">
      <c r="A144" s="2"/>
      <c r="B144" s="4"/>
    </row>
    <row r="145" spans="1:2" x14ac:dyDescent="0.25">
      <c r="A145" s="2"/>
      <c r="B145" s="4"/>
    </row>
    <row r="146" spans="1:2" x14ac:dyDescent="0.25">
      <c r="A146" s="2"/>
      <c r="B146" s="4"/>
    </row>
    <row r="147" spans="1:2" x14ac:dyDescent="0.25">
      <c r="A147" s="2"/>
      <c r="B147" s="4"/>
    </row>
    <row r="148" spans="1:2" x14ac:dyDescent="0.25">
      <c r="A148" s="2"/>
      <c r="B148" s="4"/>
    </row>
    <row r="149" spans="1:2" x14ac:dyDescent="0.25">
      <c r="A149" s="2"/>
      <c r="B149" s="4"/>
    </row>
    <row r="150" spans="1:2" x14ac:dyDescent="0.25">
      <c r="A150" s="2"/>
      <c r="B150" s="4"/>
    </row>
    <row r="151" spans="1:2" x14ac:dyDescent="0.25">
      <c r="A151" s="2"/>
      <c r="B151" s="4"/>
    </row>
    <row r="152" spans="1:2" x14ac:dyDescent="0.25">
      <c r="A152" s="2"/>
      <c r="B152" s="4"/>
    </row>
    <row r="153" spans="1:2" x14ac:dyDescent="0.25">
      <c r="A153" s="2"/>
      <c r="B153" s="4"/>
    </row>
    <row r="154" spans="1:2" x14ac:dyDescent="0.25">
      <c r="A154" s="2"/>
      <c r="B154" s="4"/>
    </row>
    <row r="155" spans="1:2" x14ac:dyDescent="0.25">
      <c r="A155" s="2"/>
      <c r="B155" s="4"/>
    </row>
    <row r="156" spans="1:2" x14ac:dyDescent="0.25">
      <c r="A156" s="2"/>
      <c r="B156" s="4"/>
    </row>
    <row r="157" spans="1:2" x14ac:dyDescent="0.25">
      <c r="A157" s="2"/>
      <c r="B157" s="4"/>
    </row>
    <row r="158" spans="1:2" x14ac:dyDescent="0.25">
      <c r="A158" s="2"/>
      <c r="B158" s="4"/>
    </row>
    <row r="159" spans="1:2" x14ac:dyDescent="0.25">
      <c r="A159" s="2"/>
      <c r="B159" s="4"/>
    </row>
    <row r="160" spans="1:2" x14ac:dyDescent="0.25">
      <c r="A160" s="2"/>
      <c r="B160" s="4"/>
    </row>
    <row r="161" spans="1:2" x14ac:dyDescent="0.25">
      <c r="A161" s="2"/>
      <c r="B161" s="4"/>
    </row>
    <row r="162" spans="1:2" x14ac:dyDescent="0.25">
      <c r="A162" s="2"/>
      <c r="B162" s="4"/>
    </row>
    <row r="163" spans="1:2" x14ac:dyDescent="0.25">
      <c r="A163" s="2"/>
      <c r="B163" s="4"/>
    </row>
    <row r="164" spans="1:2" x14ac:dyDescent="0.25">
      <c r="A164" s="2"/>
      <c r="B164" s="4"/>
    </row>
    <row r="165" spans="1:2" x14ac:dyDescent="0.25">
      <c r="A165" s="2"/>
      <c r="B165" s="4"/>
    </row>
    <row r="166" spans="1:2" x14ac:dyDescent="0.25">
      <c r="A166" s="2"/>
      <c r="B166" s="4"/>
    </row>
    <row r="167" spans="1:2" x14ac:dyDescent="0.25">
      <c r="A167" s="2"/>
      <c r="B167" s="4"/>
    </row>
    <row r="168" spans="1:2" x14ac:dyDescent="0.25">
      <c r="A168" s="2"/>
      <c r="B168" s="4"/>
    </row>
    <row r="169" spans="1:2" x14ac:dyDescent="0.25">
      <c r="A169" s="2"/>
      <c r="B169" s="4"/>
    </row>
    <row r="170" spans="1:2" x14ac:dyDescent="0.25">
      <c r="A170" s="2"/>
      <c r="B170" s="4"/>
    </row>
    <row r="171" spans="1:2" x14ac:dyDescent="0.25">
      <c r="A171" s="2"/>
      <c r="B171" s="4"/>
    </row>
    <row r="172" spans="1:2" x14ac:dyDescent="0.25">
      <c r="A172" s="2"/>
      <c r="B172" s="4"/>
    </row>
    <row r="173" spans="1:2" x14ac:dyDescent="0.25">
      <c r="A173" s="2"/>
      <c r="B173" s="4"/>
    </row>
    <row r="174" spans="1:2" x14ac:dyDescent="0.25">
      <c r="A174" s="2"/>
      <c r="B174" s="4"/>
    </row>
    <row r="175" spans="1:2" x14ac:dyDescent="0.25">
      <c r="A175" s="2"/>
      <c r="B175" s="4"/>
    </row>
    <row r="176" spans="1:2" x14ac:dyDescent="0.25">
      <c r="A176" s="2"/>
      <c r="B176" s="4"/>
    </row>
    <row r="177" spans="1:2" x14ac:dyDescent="0.25">
      <c r="A177" s="2"/>
      <c r="B177" s="4"/>
    </row>
    <row r="178" spans="1:2" x14ac:dyDescent="0.25">
      <c r="A178" s="2"/>
      <c r="B178" s="4"/>
    </row>
    <row r="179" spans="1:2" x14ac:dyDescent="0.25">
      <c r="A179" s="2"/>
      <c r="B179" s="4"/>
    </row>
    <row r="180" spans="1:2" x14ac:dyDescent="0.25">
      <c r="A180" s="2"/>
      <c r="B180" s="4"/>
    </row>
    <row r="181" spans="1:2" x14ac:dyDescent="0.25">
      <c r="A181" s="2"/>
      <c r="B181" s="4"/>
    </row>
    <row r="182" spans="1:2" x14ac:dyDescent="0.25">
      <c r="A182" s="2"/>
      <c r="B182" s="4"/>
    </row>
    <row r="183" spans="1:2" x14ac:dyDescent="0.25">
      <c r="A183" s="2"/>
      <c r="B183" s="4"/>
    </row>
    <row r="184" spans="1:2" x14ac:dyDescent="0.25">
      <c r="A184" s="2"/>
      <c r="B184" s="4"/>
    </row>
    <row r="185" spans="1:2" x14ac:dyDescent="0.25">
      <c r="A185" s="2"/>
      <c r="B185" s="4"/>
    </row>
    <row r="186" spans="1:2" x14ac:dyDescent="0.25">
      <c r="A186" s="2"/>
      <c r="B186" s="4"/>
    </row>
    <row r="187" spans="1:2" x14ac:dyDescent="0.25">
      <c r="A187" s="2"/>
      <c r="B187" s="4"/>
    </row>
    <row r="188" spans="1:2" x14ac:dyDescent="0.25">
      <c r="A188" s="2"/>
      <c r="B188" s="4"/>
    </row>
    <row r="189" spans="1:2" x14ac:dyDescent="0.25">
      <c r="A189" s="2"/>
      <c r="B189" s="4"/>
    </row>
    <row r="190" spans="1:2" x14ac:dyDescent="0.25">
      <c r="A190" s="2"/>
      <c r="B190" s="4"/>
    </row>
    <row r="191" spans="1:2" x14ac:dyDescent="0.25">
      <c r="A191" s="2"/>
      <c r="B191" s="4"/>
    </row>
    <row r="192" spans="1:2" x14ac:dyDescent="0.25">
      <c r="A192" s="2"/>
      <c r="B192" s="4"/>
    </row>
    <row r="193" spans="1:2" x14ac:dyDescent="0.25">
      <c r="A193" s="2"/>
      <c r="B193" s="4"/>
    </row>
    <row r="194" spans="1:2" x14ac:dyDescent="0.25">
      <c r="A194" s="2"/>
      <c r="B194" s="4"/>
    </row>
    <row r="195" spans="1:2" x14ac:dyDescent="0.25">
      <c r="A195" s="2"/>
      <c r="B195" s="4"/>
    </row>
    <row r="196" spans="1:2" x14ac:dyDescent="0.25">
      <c r="A196" s="2"/>
      <c r="B196" s="4"/>
    </row>
    <row r="197" spans="1:2" x14ac:dyDescent="0.25">
      <c r="A197" s="2"/>
      <c r="B197" s="4"/>
    </row>
    <row r="198" spans="1:2" x14ac:dyDescent="0.25">
      <c r="A198" s="2"/>
      <c r="B198" s="4"/>
    </row>
    <row r="199" spans="1:2" x14ac:dyDescent="0.25">
      <c r="A199" s="2"/>
      <c r="B199" s="4"/>
    </row>
    <row r="200" spans="1:2" x14ac:dyDescent="0.25">
      <c r="A200" s="2"/>
      <c r="B200" s="4"/>
    </row>
    <row r="201" spans="1:2" x14ac:dyDescent="0.25">
      <c r="A201" s="2"/>
      <c r="B201" s="4"/>
    </row>
    <row r="202" spans="1:2" x14ac:dyDescent="0.25">
      <c r="A202" s="2"/>
      <c r="B202" s="4"/>
    </row>
    <row r="203" spans="1:2" x14ac:dyDescent="0.25">
      <c r="A203" s="2"/>
      <c r="B203" s="4"/>
    </row>
    <row r="204" spans="1:2" x14ac:dyDescent="0.25">
      <c r="A204" s="2"/>
      <c r="B204" s="4"/>
    </row>
    <row r="205" spans="1:2" x14ac:dyDescent="0.25">
      <c r="A205" s="2"/>
      <c r="B205" s="4"/>
    </row>
    <row r="206" spans="1:2" x14ac:dyDescent="0.25">
      <c r="A206" s="2"/>
      <c r="B206" s="4"/>
    </row>
    <row r="207" spans="1:2" x14ac:dyDescent="0.25">
      <c r="A207" s="2"/>
      <c r="B207" s="4"/>
    </row>
    <row r="208" spans="1:2" x14ac:dyDescent="0.25">
      <c r="A208" s="2"/>
      <c r="B208" s="4"/>
    </row>
    <row r="209" spans="1:2" x14ac:dyDescent="0.25">
      <c r="A209" s="2"/>
      <c r="B209" s="4"/>
    </row>
    <row r="210" spans="1:2" x14ac:dyDescent="0.25">
      <c r="A210" s="2"/>
      <c r="B210" s="4"/>
    </row>
    <row r="211" spans="1:2" x14ac:dyDescent="0.25">
      <c r="A211" s="2"/>
      <c r="B211" s="4"/>
    </row>
    <row r="212" spans="1:2" x14ac:dyDescent="0.25">
      <c r="A212" s="2"/>
      <c r="B212" s="4"/>
    </row>
    <row r="213" spans="1:2" x14ac:dyDescent="0.25">
      <c r="A213" s="2"/>
      <c r="B213" s="4"/>
    </row>
    <row r="214" spans="1:2" x14ac:dyDescent="0.25">
      <c r="A214" s="2"/>
      <c r="B214" s="4"/>
    </row>
    <row r="215" spans="1:2" x14ac:dyDescent="0.25">
      <c r="A215" s="2"/>
      <c r="B215" s="4"/>
    </row>
    <row r="216" spans="1:2" x14ac:dyDescent="0.25">
      <c r="A216" s="2"/>
      <c r="B216" s="4"/>
    </row>
    <row r="217" spans="1:2" x14ac:dyDescent="0.25">
      <c r="A217" s="2"/>
      <c r="B217" s="4"/>
    </row>
    <row r="218" spans="1:2" x14ac:dyDescent="0.25">
      <c r="A218" s="2"/>
      <c r="B218" s="4"/>
    </row>
    <row r="219" spans="1:2" x14ac:dyDescent="0.25">
      <c r="A219" s="2"/>
      <c r="B219" s="4"/>
    </row>
    <row r="220" spans="1:2" x14ac:dyDescent="0.25">
      <c r="A220" s="2"/>
      <c r="B220" s="4"/>
    </row>
    <row r="221" spans="1:2" x14ac:dyDescent="0.25">
      <c r="A221" s="2"/>
      <c r="B221" s="4"/>
    </row>
    <row r="222" spans="1:2" x14ac:dyDescent="0.25">
      <c r="A222" s="2"/>
      <c r="B222" s="4"/>
    </row>
    <row r="223" spans="1:2" x14ac:dyDescent="0.25">
      <c r="A223" s="2"/>
      <c r="B223" s="4"/>
    </row>
    <row r="224" spans="1:2" x14ac:dyDescent="0.25">
      <c r="A224" s="2"/>
      <c r="B224" s="4"/>
    </row>
    <row r="225" spans="1:2" x14ac:dyDescent="0.25">
      <c r="A225" s="2"/>
      <c r="B225" s="4"/>
    </row>
    <row r="226" spans="1:2" x14ac:dyDescent="0.25">
      <c r="A226" s="2"/>
      <c r="B226" s="4"/>
    </row>
    <row r="227" spans="1:2" x14ac:dyDescent="0.25">
      <c r="A227" s="2"/>
      <c r="B227" s="4"/>
    </row>
    <row r="228" spans="1:2" x14ac:dyDescent="0.25">
      <c r="A228" s="2"/>
      <c r="B228" s="4"/>
    </row>
    <row r="229" spans="1:2" x14ac:dyDescent="0.25">
      <c r="A229" s="2"/>
      <c r="B229" s="4"/>
    </row>
    <row r="230" spans="1:2" x14ac:dyDescent="0.25">
      <c r="A230" s="2"/>
      <c r="B230" s="4"/>
    </row>
    <row r="231" spans="1:2" x14ac:dyDescent="0.25">
      <c r="A231" s="2"/>
      <c r="B231" s="4"/>
    </row>
    <row r="232" spans="1:2" x14ac:dyDescent="0.25">
      <c r="A232" s="2"/>
      <c r="B232" s="4"/>
    </row>
    <row r="233" spans="1:2" x14ac:dyDescent="0.25">
      <c r="A233" s="2"/>
      <c r="B233" s="4"/>
    </row>
    <row r="234" spans="1:2" x14ac:dyDescent="0.25">
      <c r="A234" s="2"/>
      <c r="B234" s="4"/>
    </row>
    <row r="235" spans="1:2" x14ac:dyDescent="0.25">
      <c r="A235" s="2"/>
      <c r="B235" s="4"/>
    </row>
    <row r="236" spans="1:2" x14ac:dyDescent="0.25">
      <c r="A236" s="2"/>
      <c r="B236" s="4"/>
    </row>
    <row r="237" spans="1:2" x14ac:dyDescent="0.25">
      <c r="A237" s="2"/>
      <c r="B237" s="4"/>
    </row>
    <row r="238" spans="1:2" x14ac:dyDescent="0.25">
      <c r="A238" s="2"/>
      <c r="B238" s="4"/>
    </row>
    <row r="239" spans="1:2" x14ac:dyDescent="0.25">
      <c r="A239" s="2"/>
      <c r="B239" s="4"/>
    </row>
    <row r="240" spans="1:2" x14ac:dyDescent="0.25">
      <c r="A240" s="2"/>
      <c r="B240" s="4"/>
    </row>
    <row r="241" spans="1:2" x14ac:dyDescent="0.25">
      <c r="A241" s="2"/>
      <c r="B241" s="4"/>
    </row>
    <row r="242" spans="1:2" x14ac:dyDescent="0.25">
      <c r="A242" s="2"/>
      <c r="B242" s="4"/>
    </row>
    <row r="243" spans="1:2" x14ac:dyDescent="0.25">
      <c r="A243" s="2"/>
      <c r="B243" s="4"/>
    </row>
    <row r="244" spans="1:2" x14ac:dyDescent="0.25">
      <c r="A244" s="2"/>
      <c r="B244" s="4"/>
    </row>
    <row r="245" spans="1:2" x14ac:dyDescent="0.25">
      <c r="A245" s="2"/>
      <c r="B245" s="4"/>
    </row>
    <row r="246" spans="1:2" x14ac:dyDescent="0.25">
      <c r="A246" s="2"/>
      <c r="B246" s="4"/>
    </row>
    <row r="247" spans="1:2" x14ac:dyDescent="0.25">
      <c r="A247" s="2"/>
      <c r="B247" s="4"/>
    </row>
    <row r="248" spans="1:2" x14ac:dyDescent="0.25">
      <c r="A248" s="2"/>
      <c r="B248" s="4"/>
    </row>
    <row r="249" spans="1:2" x14ac:dyDescent="0.25">
      <c r="A249" s="2"/>
      <c r="B249" s="4"/>
    </row>
    <row r="250" spans="1:2" x14ac:dyDescent="0.25">
      <c r="A250" s="2"/>
      <c r="B250" s="4"/>
    </row>
    <row r="251" spans="1:2" x14ac:dyDescent="0.25">
      <c r="A251" s="2"/>
    </row>
    <row r="252" spans="1:2" x14ac:dyDescent="0.25">
      <c r="A252" s="2"/>
    </row>
    <row r="253" spans="1:2" x14ac:dyDescent="0.25">
      <c r="A253" s="2"/>
    </row>
    <row r="254" spans="1:2" x14ac:dyDescent="0.25">
      <c r="A254" s="2"/>
    </row>
    <row r="255" spans="1:2" x14ac:dyDescent="0.25">
      <c r="A255" s="2"/>
    </row>
    <row r="256" spans="1:2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topLeftCell="C10" zoomScale="87" zoomScaleNormal="87" workbookViewId="0">
      <selection activeCell="F34" sqref="F34"/>
    </sheetView>
  </sheetViews>
  <sheetFormatPr defaultRowHeight="11.25" x14ac:dyDescent="0.2"/>
  <cols>
    <col min="1" max="3" width="9.140625" style="1"/>
    <col min="4" max="4" width="14.7109375" style="11" customWidth="1"/>
    <col min="5" max="5" width="18" style="13" customWidth="1"/>
    <col min="6" max="6" width="16.7109375" style="13" customWidth="1"/>
    <col min="7" max="7" width="17.7109375" style="13" customWidth="1"/>
    <col min="8" max="14" width="9.140625" style="1"/>
    <col min="15" max="15" width="17.42578125" style="1" customWidth="1"/>
    <col min="16" max="16" width="15.5703125" style="1" customWidth="1"/>
    <col min="17" max="17" width="21.5703125" style="1" customWidth="1"/>
    <col min="18" max="16384" width="9.140625" style="1"/>
  </cols>
  <sheetData>
    <row r="1" spans="1:21" ht="12.75" x14ac:dyDescent="0.2">
      <c r="D1" s="11" t="s">
        <v>35</v>
      </c>
      <c r="E1" s="31"/>
      <c r="F1" s="31"/>
      <c r="G1" s="31"/>
    </row>
    <row r="2" spans="1:21" x14ac:dyDescent="0.2">
      <c r="D2" s="15"/>
      <c r="E2" s="14"/>
      <c r="F2" s="14"/>
      <c r="G2" s="14"/>
    </row>
    <row r="3" spans="1:21" ht="101.25" x14ac:dyDescent="0.2">
      <c r="D3" s="12" t="s">
        <v>3</v>
      </c>
      <c r="E3" s="62" t="s">
        <v>20</v>
      </c>
      <c r="F3" s="62" t="s">
        <v>21</v>
      </c>
      <c r="G3" s="62" t="s">
        <v>14</v>
      </c>
      <c r="H3" s="62" t="s">
        <v>15</v>
      </c>
      <c r="I3" s="62" t="s">
        <v>22</v>
      </c>
      <c r="J3" s="62" t="s">
        <v>23</v>
      </c>
      <c r="K3" s="62" t="s">
        <v>24</v>
      </c>
      <c r="L3" s="62" t="s">
        <v>25</v>
      </c>
      <c r="M3" s="62" t="s">
        <v>26</v>
      </c>
      <c r="N3" s="62" t="s">
        <v>27</v>
      </c>
      <c r="O3" s="62" t="s">
        <v>28</v>
      </c>
      <c r="P3" s="62" t="s">
        <v>29</v>
      </c>
      <c r="Q3" s="62" t="s">
        <v>30</v>
      </c>
      <c r="R3" s="62" t="s">
        <v>31</v>
      </c>
      <c r="S3" s="62" t="s">
        <v>32</v>
      </c>
      <c r="T3" s="62" t="s">
        <v>33</v>
      </c>
      <c r="U3" s="63" t="s">
        <v>34</v>
      </c>
    </row>
    <row r="4" spans="1:21" x14ac:dyDescent="0.2">
      <c r="A4" s="1" t="str">
        <f t="shared" ref="A4:A32" si="0">CONCATENATE(B4,C4)</f>
        <v>20171</v>
      </c>
      <c r="B4" s="1">
        <f t="shared" ref="B4:B32" si="1">YEAR(D4)</f>
        <v>2017</v>
      </c>
      <c r="C4" s="1">
        <f t="shared" ref="C4:C32" si="2">MONTH(D4)</f>
        <v>1</v>
      </c>
      <c r="D4" s="10">
        <v>42736</v>
      </c>
      <c r="E4" s="64">
        <v>88.6</v>
      </c>
      <c r="F4" s="64">
        <v>89.2</v>
      </c>
      <c r="G4" s="64">
        <v>112.7</v>
      </c>
      <c r="H4" s="64">
        <v>79.900000000000006</v>
      </c>
      <c r="I4" s="64">
        <v>83</v>
      </c>
      <c r="J4" s="64">
        <v>113.1</v>
      </c>
      <c r="K4" s="64">
        <v>63.2</v>
      </c>
      <c r="L4" s="64">
        <v>80.3</v>
      </c>
      <c r="M4" s="64">
        <v>71</v>
      </c>
      <c r="N4" s="64">
        <v>81.400000000000006</v>
      </c>
      <c r="O4" s="64">
        <v>105.2</v>
      </c>
      <c r="P4" s="64">
        <v>72.7</v>
      </c>
      <c r="Q4" s="64">
        <v>75</v>
      </c>
      <c r="R4" s="64">
        <v>83</v>
      </c>
      <c r="S4" s="64">
        <v>65.2</v>
      </c>
      <c r="T4" s="64">
        <v>24.9</v>
      </c>
      <c r="U4" s="64">
        <v>104.3</v>
      </c>
    </row>
    <row r="5" spans="1:21" x14ac:dyDescent="0.2">
      <c r="A5" s="1" t="str">
        <f t="shared" si="0"/>
        <v>20172</v>
      </c>
      <c r="B5" s="1">
        <f t="shared" si="1"/>
        <v>2017</v>
      </c>
      <c r="C5" s="1">
        <f t="shared" si="2"/>
        <v>2</v>
      </c>
      <c r="D5" s="10">
        <v>42767</v>
      </c>
      <c r="E5" s="58">
        <v>91.1</v>
      </c>
      <c r="F5" s="58">
        <v>82.8</v>
      </c>
      <c r="G5" s="58">
        <v>100.2</v>
      </c>
      <c r="H5" s="58">
        <v>76</v>
      </c>
      <c r="I5" s="58">
        <v>75.900000000000006</v>
      </c>
      <c r="J5" s="58">
        <v>96</v>
      </c>
      <c r="K5" s="58">
        <v>61</v>
      </c>
      <c r="L5" s="58">
        <v>78.2</v>
      </c>
      <c r="M5" s="58">
        <v>62.4</v>
      </c>
      <c r="N5" s="58">
        <v>78.900000000000006</v>
      </c>
      <c r="O5" s="58">
        <v>87.9</v>
      </c>
      <c r="P5" s="58">
        <v>73.599999999999994</v>
      </c>
      <c r="Q5" s="58">
        <v>71.2</v>
      </c>
      <c r="R5" s="58">
        <v>83.8</v>
      </c>
      <c r="S5" s="58">
        <v>69.7</v>
      </c>
      <c r="T5" s="58">
        <v>20.100000000000001</v>
      </c>
      <c r="U5" s="58">
        <v>100.4</v>
      </c>
    </row>
    <row r="6" spans="1:21" x14ac:dyDescent="0.2">
      <c r="A6" s="1" t="str">
        <f t="shared" si="0"/>
        <v>20173</v>
      </c>
      <c r="B6" s="1">
        <f t="shared" si="1"/>
        <v>2017</v>
      </c>
      <c r="C6" s="1">
        <f t="shared" si="2"/>
        <v>3</v>
      </c>
      <c r="D6" s="10">
        <v>42795</v>
      </c>
      <c r="E6" s="58">
        <v>90</v>
      </c>
      <c r="F6" s="58">
        <v>90.2</v>
      </c>
      <c r="G6" s="58">
        <v>102.6</v>
      </c>
      <c r="H6" s="58">
        <v>85.4</v>
      </c>
      <c r="I6" s="58">
        <v>90.5</v>
      </c>
      <c r="J6" s="58">
        <v>96.9</v>
      </c>
      <c r="K6" s="58">
        <v>63</v>
      </c>
      <c r="L6" s="58">
        <v>86.4</v>
      </c>
      <c r="M6" s="58">
        <v>72.3</v>
      </c>
      <c r="N6" s="58">
        <v>83.6</v>
      </c>
      <c r="O6" s="58">
        <v>96.7</v>
      </c>
      <c r="P6" s="58">
        <v>78.2</v>
      </c>
      <c r="Q6" s="58">
        <v>82.1</v>
      </c>
      <c r="R6" s="58">
        <v>91.8</v>
      </c>
      <c r="S6" s="58">
        <v>95.2</v>
      </c>
      <c r="T6" s="58">
        <v>22.9</v>
      </c>
      <c r="U6" s="58">
        <v>105</v>
      </c>
    </row>
    <row r="7" spans="1:21" x14ac:dyDescent="0.2">
      <c r="A7" s="1" t="str">
        <f t="shared" si="0"/>
        <v>20174</v>
      </c>
      <c r="B7" s="1">
        <f t="shared" si="1"/>
        <v>2017</v>
      </c>
      <c r="C7" s="1">
        <f t="shared" si="2"/>
        <v>4</v>
      </c>
      <c r="D7" s="10">
        <v>42826</v>
      </c>
      <c r="E7" s="58">
        <v>89.7</v>
      </c>
      <c r="F7" s="58">
        <v>85.9</v>
      </c>
      <c r="G7" s="58">
        <v>99.6</v>
      </c>
      <c r="H7" s="58">
        <v>80.5</v>
      </c>
      <c r="I7" s="58">
        <v>69.400000000000006</v>
      </c>
      <c r="J7" s="58">
        <v>61.9</v>
      </c>
      <c r="K7" s="58">
        <v>72.400000000000006</v>
      </c>
      <c r="L7" s="58">
        <v>88.5</v>
      </c>
      <c r="M7" s="58">
        <v>60.2</v>
      </c>
      <c r="N7" s="58">
        <v>75.5</v>
      </c>
      <c r="O7" s="58">
        <v>108.2</v>
      </c>
      <c r="P7" s="58">
        <v>69.900000000000006</v>
      </c>
      <c r="Q7" s="58">
        <v>82.2</v>
      </c>
      <c r="R7" s="58">
        <v>86.7</v>
      </c>
      <c r="S7" s="58">
        <v>75.900000000000006</v>
      </c>
      <c r="T7" s="58">
        <v>17.5</v>
      </c>
      <c r="U7" s="58">
        <v>102.4</v>
      </c>
    </row>
    <row r="8" spans="1:21" x14ac:dyDescent="0.2">
      <c r="A8" s="1" t="str">
        <f t="shared" si="0"/>
        <v>20175</v>
      </c>
      <c r="B8" s="1">
        <f t="shared" si="1"/>
        <v>2017</v>
      </c>
      <c r="C8" s="1">
        <f t="shared" si="2"/>
        <v>5</v>
      </c>
      <c r="D8" s="10">
        <v>42856</v>
      </c>
      <c r="E8" s="58">
        <v>88.2</v>
      </c>
      <c r="F8" s="58">
        <v>89.3</v>
      </c>
      <c r="G8" s="58">
        <v>108.4</v>
      </c>
      <c r="H8" s="58">
        <v>81.7</v>
      </c>
      <c r="I8" s="58">
        <v>71.400000000000006</v>
      </c>
      <c r="J8" s="58">
        <v>75.900000000000006</v>
      </c>
      <c r="K8" s="58">
        <v>70</v>
      </c>
      <c r="L8" s="58">
        <v>85.1</v>
      </c>
      <c r="M8" s="58">
        <v>66.2</v>
      </c>
      <c r="N8" s="58">
        <v>69.2</v>
      </c>
      <c r="O8" s="58">
        <v>104.2</v>
      </c>
      <c r="P8" s="58">
        <v>79.400000000000006</v>
      </c>
      <c r="Q8" s="58">
        <v>75.7</v>
      </c>
      <c r="R8" s="58">
        <v>89.1</v>
      </c>
      <c r="S8" s="58">
        <v>97.2</v>
      </c>
      <c r="T8" s="58">
        <v>24.7</v>
      </c>
      <c r="U8" s="58">
        <v>112.8</v>
      </c>
    </row>
    <row r="9" spans="1:21" x14ac:dyDescent="0.2">
      <c r="A9" s="1" t="str">
        <f t="shared" si="0"/>
        <v>20176</v>
      </c>
      <c r="B9" s="1">
        <f t="shared" si="1"/>
        <v>2017</v>
      </c>
      <c r="C9" s="1">
        <f t="shared" si="2"/>
        <v>6</v>
      </c>
      <c r="D9" s="10">
        <v>42887</v>
      </c>
      <c r="E9" s="58">
        <v>89.5</v>
      </c>
      <c r="F9" s="58">
        <v>89.1</v>
      </c>
      <c r="G9" s="58">
        <v>106.4</v>
      </c>
      <c r="H9" s="58">
        <v>82.3</v>
      </c>
      <c r="I9" s="58">
        <v>66.5</v>
      </c>
      <c r="J9" s="58">
        <v>81.8</v>
      </c>
      <c r="K9" s="58">
        <v>68.7</v>
      </c>
      <c r="L9" s="58">
        <v>91.2</v>
      </c>
      <c r="M9" s="58">
        <v>71.5</v>
      </c>
      <c r="N9" s="58">
        <v>73.099999999999994</v>
      </c>
      <c r="O9" s="58">
        <v>114.4</v>
      </c>
      <c r="P9" s="58">
        <v>75.8</v>
      </c>
      <c r="Q9" s="58">
        <v>73.5</v>
      </c>
      <c r="R9" s="58">
        <v>96.8</v>
      </c>
      <c r="S9" s="58">
        <v>69.900000000000006</v>
      </c>
      <c r="T9" s="58">
        <v>24.4</v>
      </c>
      <c r="U9" s="58">
        <v>108.3</v>
      </c>
    </row>
    <row r="10" spans="1:21" x14ac:dyDescent="0.2">
      <c r="A10" s="1" t="str">
        <f t="shared" si="0"/>
        <v>20177</v>
      </c>
      <c r="B10" s="1">
        <f t="shared" si="1"/>
        <v>2017</v>
      </c>
      <c r="C10" s="1">
        <f t="shared" si="2"/>
        <v>7</v>
      </c>
      <c r="D10" s="10">
        <v>42917</v>
      </c>
      <c r="E10" s="58">
        <v>84.4</v>
      </c>
      <c r="F10" s="58">
        <v>86.2</v>
      </c>
      <c r="G10" s="58">
        <v>113.2</v>
      </c>
      <c r="H10" s="58">
        <v>75.599999999999994</v>
      </c>
      <c r="I10" s="58">
        <v>72.5</v>
      </c>
      <c r="J10" s="58">
        <v>72.900000000000006</v>
      </c>
      <c r="K10" s="58">
        <v>68.400000000000006</v>
      </c>
      <c r="L10" s="58">
        <v>68.7</v>
      </c>
      <c r="M10" s="58">
        <v>76.8</v>
      </c>
      <c r="N10" s="58">
        <v>59.7</v>
      </c>
      <c r="O10" s="58">
        <v>133.1</v>
      </c>
      <c r="P10" s="58">
        <v>83.4</v>
      </c>
      <c r="Q10" s="58">
        <v>66.7</v>
      </c>
      <c r="R10" s="58">
        <v>93</v>
      </c>
      <c r="S10" s="58">
        <v>96.7</v>
      </c>
      <c r="T10" s="58">
        <v>21.9</v>
      </c>
      <c r="U10" s="58">
        <v>110.5</v>
      </c>
    </row>
    <row r="11" spans="1:21" x14ac:dyDescent="0.2">
      <c r="A11" s="1" t="str">
        <f t="shared" si="0"/>
        <v>20178</v>
      </c>
      <c r="B11" s="1">
        <f t="shared" si="1"/>
        <v>2017</v>
      </c>
      <c r="C11" s="1">
        <f t="shared" si="2"/>
        <v>8</v>
      </c>
      <c r="D11" s="10">
        <v>42948</v>
      </c>
      <c r="E11" s="58">
        <v>88.1</v>
      </c>
      <c r="F11" s="58">
        <v>91.2</v>
      </c>
      <c r="G11" s="58">
        <v>103.5</v>
      </c>
      <c r="H11" s="58">
        <v>86.3</v>
      </c>
      <c r="I11" s="58">
        <v>82.7</v>
      </c>
      <c r="J11" s="58">
        <v>86.4</v>
      </c>
      <c r="K11" s="58">
        <v>66.900000000000006</v>
      </c>
      <c r="L11" s="58">
        <v>74.599999999999994</v>
      </c>
      <c r="M11" s="58">
        <v>85.2</v>
      </c>
      <c r="N11" s="58">
        <v>110.7</v>
      </c>
      <c r="O11" s="58">
        <v>139.9</v>
      </c>
      <c r="P11" s="58">
        <v>87.4</v>
      </c>
      <c r="Q11" s="58">
        <v>78.900000000000006</v>
      </c>
      <c r="R11" s="58">
        <v>76.7</v>
      </c>
      <c r="S11" s="58">
        <v>130.19999999999999</v>
      </c>
      <c r="T11" s="58">
        <v>24.1</v>
      </c>
      <c r="U11" s="58">
        <v>106</v>
      </c>
    </row>
    <row r="12" spans="1:21" x14ac:dyDescent="0.2">
      <c r="A12" s="1" t="str">
        <f t="shared" si="0"/>
        <v>20179</v>
      </c>
      <c r="B12" s="1">
        <f t="shared" si="1"/>
        <v>2017</v>
      </c>
      <c r="C12" s="1">
        <f t="shared" si="2"/>
        <v>9</v>
      </c>
      <c r="D12" s="10">
        <v>42979</v>
      </c>
      <c r="E12" s="58">
        <v>96.1</v>
      </c>
      <c r="F12" s="58">
        <v>94.2</v>
      </c>
      <c r="G12" s="58">
        <v>107.2</v>
      </c>
      <c r="H12" s="58">
        <v>89.1</v>
      </c>
      <c r="I12" s="58">
        <v>82</v>
      </c>
      <c r="J12" s="58">
        <v>97.3</v>
      </c>
      <c r="K12" s="58">
        <v>70.5</v>
      </c>
      <c r="L12" s="58">
        <v>88.4</v>
      </c>
      <c r="M12" s="58">
        <v>90</v>
      </c>
      <c r="N12" s="58">
        <v>109.4</v>
      </c>
      <c r="O12" s="58">
        <v>117.1</v>
      </c>
      <c r="P12" s="58">
        <v>77.5</v>
      </c>
      <c r="Q12" s="58">
        <v>76.099999999999994</v>
      </c>
      <c r="R12" s="58">
        <v>78.3</v>
      </c>
      <c r="S12" s="58">
        <v>114.3</v>
      </c>
      <c r="T12" s="58">
        <v>17.899999999999999</v>
      </c>
      <c r="U12" s="58">
        <v>102.6</v>
      </c>
    </row>
    <row r="13" spans="1:21" x14ac:dyDescent="0.2">
      <c r="A13" s="1" t="str">
        <f t="shared" si="0"/>
        <v>201710</v>
      </c>
      <c r="B13" s="1">
        <f t="shared" si="1"/>
        <v>2017</v>
      </c>
      <c r="C13" s="1">
        <f t="shared" si="2"/>
        <v>10</v>
      </c>
      <c r="D13" s="10">
        <v>43009</v>
      </c>
      <c r="E13" s="58">
        <v>96.1</v>
      </c>
      <c r="F13" s="58">
        <v>101.2</v>
      </c>
      <c r="G13" s="58">
        <v>112.4</v>
      </c>
      <c r="H13" s="58">
        <v>96.8</v>
      </c>
      <c r="I13" s="58">
        <v>87.3</v>
      </c>
      <c r="J13" s="58">
        <v>123</v>
      </c>
      <c r="K13" s="58">
        <v>78.400000000000006</v>
      </c>
      <c r="L13" s="58">
        <v>101.1</v>
      </c>
      <c r="M13" s="58">
        <v>86.6</v>
      </c>
      <c r="N13" s="58">
        <v>78.099999999999994</v>
      </c>
      <c r="O13" s="58">
        <v>120.8</v>
      </c>
      <c r="P13" s="58">
        <v>74.400000000000006</v>
      </c>
      <c r="Q13" s="58">
        <v>83.9</v>
      </c>
      <c r="R13" s="58">
        <v>86.6</v>
      </c>
      <c r="S13" s="58">
        <v>125.7</v>
      </c>
      <c r="T13" s="58">
        <v>17.399999999999999</v>
      </c>
      <c r="U13" s="58">
        <v>116.5</v>
      </c>
    </row>
    <row r="14" spans="1:21" x14ac:dyDescent="0.2">
      <c r="A14" s="1" t="str">
        <f t="shared" si="0"/>
        <v>201711</v>
      </c>
      <c r="B14" s="1">
        <f t="shared" si="1"/>
        <v>2017</v>
      </c>
      <c r="C14" s="1">
        <f t="shared" si="2"/>
        <v>11</v>
      </c>
      <c r="D14" s="10">
        <v>43040</v>
      </c>
      <c r="E14" s="58">
        <v>94.8</v>
      </c>
      <c r="F14" s="58">
        <v>96.1</v>
      </c>
      <c r="G14" s="58">
        <v>107.6</v>
      </c>
      <c r="H14" s="58">
        <v>91.6</v>
      </c>
      <c r="I14" s="58">
        <v>86.6</v>
      </c>
      <c r="J14" s="58">
        <v>123.6</v>
      </c>
      <c r="K14" s="58">
        <v>60.2</v>
      </c>
      <c r="L14" s="58">
        <v>85.8</v>
      </c>
      <c r="M14" s="58">
        <v>93.8</v>
      </c>
      <c r="N14" s="58">
        <v>101.4</v>
      </c>
      <c r="O14" s="58">
        <v>114.5</v>
      </c>
      <c r="P14" s="58">
        <v>79.400000000000006</v>
      </c>
      <c r="Q14" s="58">
        <v>83.9</v>
      </c>
      <c r="R14" s="58">
        <v>92.1</v>
      </c>
      <c r="S14" s="58">
        <v>119.8</v>
      </c>
      <c r="T14" s="58">
        <v>17.8</v>
      </c>
      <c r="U14" s="58">
        <v>108.1</v>
      </c>
    </row>
    <row r="15" spans="1:21" x14ac:dyDescent="0.2">
      <c r="A15" s="1" t="str">
        <f t="shared" si="0"/>
        <v>201712</v>
      </c>
      <c r="B15" s="1">
        <f t="shared" si="1"/>
        <v>2017</v>
      </c>
      <c r="C15" s="1">
        <f t="shared" si="2"/>
        <v>12</v>
      </c>
      <c r="D15" s="10">
        <v>43070</v>
      </c>
      <c r="E15" s="65">
        <v>94.1</v>
      </c>
      <c r="F15" s="65">
        <v>94</v>
      </c>
      <c r="G15" s="65">
        <v>107.1</v>
      </c>
      <c r="H15" s="65">
        <v>88.9</v>
      </c>
      <c r="I15" s="65">
        <v>93.2</v>
      </c>
      <c r="J15" s="65">
        <v>126.7</v>
      </c>
      <c r="K15" s="65">
        <v>56.9</v>
      </c>
      <c r="L15" s="65">
        <v>95.8</v>
      </c>
      <c r="M15" s="65">
        <v>80.2</v>
      </c>
      <c r="N15" s="65">
        <v>79.3</v>
      </c>
      <c r="O15" s="65">
        <v>99.6</v>
      </c>
      <c r="P15" s="65">
        <v>68.900000000000006</v>
      </c>
      <c r="Q15" s="65">
        <v>75</v>
      </c>
      <c r="R15" s="65">
        <v>77.2</v>
      </c>
      <c r="S15" s="65">
        <v>93.2</v>
      </c>
      <c r="T15" s="65">
        <v>13.8</v>
      </c>
      <c r="U15" s="65">
        <v>110.5</v>
      </c>
    </row>
    <row r="16" spans="1:21" x14ac:dyDescent="0.2">
      <c r="A16" s="1" t="str">
        <f t="shared" si="0"/>
        <v>20181</v>
      </c>
      <c r="B16" s="1">
        <f t="shared" si="1"/>
        <v>2018</v>
      </c>
      <c r="C16" s="1">
        <f t="shared" si="2"/>
        <v>1</v>
      </c>
      <c r="D16" s="10">
        <v>43101</v>
      </c>
      <c r="E16" s="64">
        <v>92.9</v>
      </c>
      <c r="F16" s="64">
        <v>94.2</v>
      </c>
      <c r="G16" s="64">
        <v>110.3</v>
      </c>
      <c r="H16" s="64">
        <v>87.9</v>
      </c>
      <c r="I16" s="64">
        <v>98.1</v>
      </c>
      <c r="J16" s="64">
        <v>103.4</v>
      </c>
      <c r="K16" s="64">
        <v>57.4</v>
      </c>
      <c r="L16" s="64">
        <v>91.2</v>
      </c>
      <c r="M16" s="64">
        <v>70.8</v>
      </c>
      <c r="N16" s="64">
        <v>75.2</v>
      </c>
      <c r="O16" s="64">
        <v>108.7</v>
      </c>
      <c r="P16" s="64">
        <v>81.5</v>
      </c>
      <c r="Q16" s="64">
        <v>83.8</v>
      </c>
      <c r="R16" s="64">
        <v>73.8</v>
      </c>
      <c r="S16" s="64">
        <v>102.2</v>
      </c>
      <c r="T16" s="64">
        <v>14</v>
      </c>
      <c r="U16" s="64">
        <v>108.3</v>
      </c>
    </row>
    <row r="17" spans="1:21" x14ac:dyDescent="0.2">
      <c r="A17" s="1" t="str">
        <f t="shared" si="0"/>
        <v>20182</v>
      </c>
      <c r="B17" s="1">
        <f t="shared" si="1"/>
        <v>2018</v>
      </c>
      <c r="C17" s="1">
        <f t="shared" si="2"/>
        <v>2</v>
      </c>
      <c r="D17" s="10">
        <v>43132</v>
      </c>
      <c r="E17" s="58">
        <v>93.9</v>
      </c>
      <c r="F17" s="58">
        <v>85.4</v>
      </c>
      <c r="G17" s="58">
        <v>99.5</v>
      </c>
      <c r="H17" s="58">
        <v>79.900000000000006</v>
      </c>
      <c r="I17" s="58">
        <v>73.099999999999994</v>
      </c>
      <c r="J17" s="58">
        <v>107.3</v>
      </c>
      <c r="K17" s="58">
        <v>55.9</v>
      </c>
      <c r="L17" s="58">
        <v>81.5</v>
      </c>
      <c r="M17" s="58">
        <v>66.3</v>
      </c>
      <c r="N17" s="58">
        <v>68.400000000000006</v>
      </c>
      <c r="O17" s="58">
        <v>83.4</v>
      </c>
      <c r="P17" s="58">
        <v>73.099999999999994</v>
      </c>
      <c r="Q17" s="58">
        <v>75.400000000000006</v>
      </c>
      <c r="R17" s="58">
        <v>67.599999999999994</v>
      </c>
      <c r="S17" s="58">
        <v>109.6</v>
      </c>
      <c r="T17" s="58">
        <v>9.6999999999999993</v>
      </c>
      <c r="U17" s="58">
        <v>93.3</v>
      </c>
    </row>
    <row r="18" spans="1:21" x14ac:dyDescent="0.2">
      <c r="A18" s="1" t="str">
        <f t="shared" si="0"/>
        <v>20183</v>
      </c>
      <c r="B18" s="1">
        <f t="shared" si="1"/>
        <v>2018</v>
      </c>
      <c r="C18" s="1">
        <f t="shared" si="2"/>
        <v>3</v>
      </c>
      <c r="D18" s="10">
        <v>43160</v>
      </c>
      <c r="E18" s="58">
        <v>90</v>
      </c>
      <c r="F18" s="58">
        <v>90.1</v>
      </c>
      <c r="G18" s="58">
        <v>106.7</v>
      </c>
      <c r="H18" s="58">
        <v>83.5</v>
      </c>
      <c r="I18" s="58">
        <v>102.2</v>
      </c>
      <c r="J18" s="58">
        <v>80.599999999999994</v>
      </c>
      <c r="K18" s="58">
        <v>56.1</v>
      </c>
      <c r="L18" s="58">
        <v>73</v>
      </c>
      <c r="M18" s="58">
        <v>73.2</v>
      </c>
      <c r="N18" s="58">
        <v>80.099999999999994</v>
      </c>
      <c r="O18" s="58">
        <v>111.4</v>
      </c>
      <c r="P18" s="58">
        <v>88</v>
      </c>
      <c r="Q18" s="58">
        <v>87.2</v>
      </c>
      <c r="R18" s="58">
        <v>82.4</v>
      </c>
      <c r="S18" s="58">
        <v>127.6</v>
      </c>
      <c r="T18" s="58">
        <v>12.5</v>
      </c>
      <c r="U18" s="58">
        <v>103.9</v>
      </c>
    </row>
    <row r="19" spans="1:21" x14ac:dyDescent="0.2">
      <c r="A19" s="1" t="str">
        <f t="shared" si="0"/>
        <v>20184</v>
      </c>
      <c r="B19" s="1">
        <f t="shared" si="1"/>
        <v>2018</v>
      </c>
      <c r="C19" s="1">
        <f t="shared" si="2"/>
        <v>4</v>
      </c>
      <c r="D19" s="10">
        <v>43191</v>
      </c>
      <c r="E19" s="58">
        <v>97.8</v>
      </c>
      <c r="F19" s="58">
        <v>94.6</v>
      </c>
      <c r="G19" s="58">
        <v>107.6</v>
      </c>
      <c r="H19" s="58">
        <v>89.4</v>
      </c>
      <c r="I19" s="58">
        <v>87.7</v>
      </c>
      <c r="J19" s="58">
        <v>73.5</v>
      </c>
      <c r="K19" s="58">
        <v>56.3</v>
      </c>
      <c r="L19" s="58">
        <v>96.9</v>
      </c>
      <c r="M19" s="58">
        <v>69</v>
      </c>
      <c r="N19" s="58">
        <v>92.6</v>
      </c>
      <c r="O19" s="58">
        <v>112.5</v>
      </c>
      <c r="P19" s="58">
        <v>84.1</v>
      </c>
      <c r="Q19" s="58">
        <v>83.6</v>
      </c>
      <c r="R19" s="58">
        <v>65.7</v>
      </c>
      <c r="S19" s="58">
        <v>115.3</v>
      </c>
      <c r="T19" s="58">
        <v>12</v>
      </c>
      <c r="U19" s="58">
        <v>104.9</v>
      </c>
    </row>
    <row r="20" spans="1:21" x14ac:dyDescent="0.2">
      <c r="A20" s="1" t="str">
        <f t="shared" si="0"/>
        <v>20185</v>
      </c>
      <c r="B20" s="1">
        <f t="shared" si="1"/>
        <v>2018</v>
      </c>
      <c r="C20" s="1">
        <f t="shared" si="2"/>
        <v>5</v>
      </c>
      <c r="D20" s="10">
        <v>43221</v>
      </c>
      <c r="E20" s="58">
        <v>90.7</v>
      </c>
      <c r="F20" s="58">
        <v>91</v>
      </c>
      <c r="G20" s="58">
        <v>109.3</v>
      </c>
      <c r="H20" s="58">
        <v>83.7</v>
      </c>
      <c r="I20" s="58">
        <v>75.7</v>
      </c>
      <c r="J20" s="58">
        <v>84.5</v>
      </c>
      <c r="K20" s="58">
        <v>56.4</v>
      </c>
      <c r="L20" s="58">
        <v>91.5</v>
      </c>
      <c r="M20" s="58">
        <v>69.7</v>
      </c>
      <c r="N20" s="58">
        <v>86.6</v>
      </c>
      <c r="O20" s="58">
        <v>95.1</v>
      </c>
      <c r="P20" s="58">
        <v>74.099999999999994</v>
      </c>
      <c r="Q20" s="58">
        <v>82.6</v>
      </c>
      <c r="R20" s="58">
        <v>77.2</v>
      </c>
      <c r="S20" s="58">
        <v>81.2</v>
      </c>
      <c r="T20" s="58">
        <v>12.8</v>
      </c>
      <c r="U20" s="58">
        <v>106.4</v>
      </c>
    </row>
    <row r="21" spans="1:21" x14ac:dyDescent="0.2">
      <c r="A21" s="1" t="str">
        <f t="shared" si="0"/>
        <v>20186</v>
      </c>
      <c r="B21" s="1">
        <f t="shared" si="1"/>
        <v>2018</v>
      </c>
      <c r="C21" s="1">
        <f t="shared" si="2"/>
        <v>6</v>
      </c>
      <c r="D21" s="10">
        <v>43252</v>
      </c>
      <c r="E21" s="58">
        <v>93.2</v>
      </c>
      <c r="F21" s="58">
        <v>92.3</v>
      </c>
      <c r="G21" s="58">
        <v>104</v>
      </c>
      <c r="H21" s="58">
        <v>87.7</v>
      </c>
      <c r="I21" s="58">
        <v>88.6</v>
      </c>
      <c r="J21" s="58">
        <v>81.8</v>
      </c>
      <c r="K21" s="58">
        <v>56.5</v>
      </c>
      <c r="L21" s="58">
        <v>90.3</v>
      </c>
      <c r="M21" s="58">
        <v>84.4</v>
      </c>
      <c r="N21" s="58">
        <v>101</v>
      </c>
      <c r="O21" s="58">
        <v>88.6</v>
      </c>
      <c r="P21" s="58">
        <v>96.7</v>
      </c>
      <c r="Q21" s="58">
        <v>69</v>
      </c>
      <c r="R21" s="58">
        <v>72.099999999999994</v>
      </c>
      <c r="S21" s="58">
        <v>128.30000000000001</v>
      </c>
      <c r="T21" s="58">
        <v>10.5</v>
      </c>
      <c r="U21" s="58">
        <v>112.8</v>
      </c>
    </row>
    <row r="22" spans="1:21" x14ac:dyDescent="0.2">
      <c r="A22" s="1" t="str">
        <f t="shared" si="0"/>
        <v>20187</v>
      </c>
      <c r="B22" s="1">
        <f t="shared" si="1"/>
        <v>2018</v>
      </c>
      <c r="C22" s="1">
        <f t="shared" si="2"/>
        <v>7</v>
      </c>
      <c r="D22" s="10">
        <v>43282</v>
      </c>
      <c r="E22" s="58">
        <v>92.7</v>
      </c>
      <c r="F22" s="58">
        <v>95.6</v>
      </c>
      <c r="G22" s="58">
        <v>106.8</v>
      </c>
      <c r="H22" s="58">
        <v>91.2</v>
      </c>
      <c r="I22" s="58">
        <v>93.4</v>
      </c>
      <c r="J22" s="58">
        <v>91.6</v>
      </c>
      <c r="K22" s="58">
        <v>55.8</v>
      </c>
      <c r="L22" s="58">
        <v>96.5</v>
      </c>
      <c r="M22" s="58">
        <v>80.2</v>
      </c>
      <c r="N22" s="58">
        <v>88.8</v>
      </c>
      <c r="O22" s="58">
        <v>107</v>
      </c>
      <c r="P22" s="58">
        <v>99.1</v>
      </c>
      <c r="Q22" s="58">
        <v>76.5</v>
      </c>
      <c r="R22" s="58">
        <v>73.7</v>
      </c>
      <c r="S22" s="58">
        <v>130.1</v>
      </c>
      <c r="T22" s="58">
        <v>10.6</v>
      </c>
      <c r="U22" s="58">
        <v>96.3</v>
      </c>
    </row>
    <row r="23" spans="1:21" x14ac:dyDescent="0.2">
      <c r="A23" s="1" t="str">
        <f t="shared" si="0"/>
        <v>20188</v>
      </c>
      <c r="B23" s="1">
        <f t="shared" si="1"/>
        <v>2018</v>
      </c>
      <c r="C23" s="1">
        <f t="shared" si="2"/>
        <v>8</v>
      </c>
      <c r="D23" s="10">
        <v>43313</v>
      </c>
      <c r="E23" s="58">
        <v>92.4</v>
      </c>
      <c r="F23" s="58">
        <v>95</v>
      </c>
      <c r="G23" s="58">
        <v>100.3</v>
      </c>
      <c r="H23" s="58">
        <v>93</v>
      </c>
      <c r="I23" s="58">
        <v>91</v>
      </c>
      <c r="J23" s="58">
        <v>85.5</v>
      </c>
      <c r="K23" s="58">
        <v>55</v>
      </c>
      <c r="L23" s="58">
        <v>96.3</v>
      </c>
      <c r="M23" s="58">
        <v>101.8</v>
      </c>
      <c r="N23" s="58">
        <v>107.1</v>
      </c>
      <c r="O23" s="58">
        <v>104.4</v>
      </c>
      <c r="P23" s="58">
        <v>95.4</v>
      </c>
      <c r="Q23" s="58">
        <v>66.599999999999994</v>
      </c>
      <c r="R23" s="58">
        <v>79.8</v>
      </c>
      <c r="S23" s="58">
        <v>142.5</v>
      </c>
      <c r="T23" s="58">
        <v>9.4</v>
      </c>
      <c r="U23" s="58">
        <v>107.7</v>
      </c>
    </row>
    <row r="24" spans="1:21" x14ac:dyDescent="0.2">
      <c r="A24" s="1" t="str">
        <f t="shared" si="0"/>
        <v>20189</v>
      </c>
      <c r="B24" s="1">
        <f t="shared" si="1"/>
        <v>2018</v>
      </c>
      <c r="C24" s="1">
        <f t="shared" si="2"/>
        <v>9</v>
      </c>
      <c r="D24" s="10">
        <v>43344</v>
      </c>
      <c r="E24" s="58">
        <v>93.1</v>
      </c>
      <c r="F24" s="58">
        <v>90.7</v>
      </c>
      <c r="G24" s="58">
        <v>98.6</v>
      </c>
      <c r="H24" s="58">
        <v>87.6</v>
      </c>
      <c r="I24" s="58">
        <v>102</v>
      </c>
      <c r="J24" s="58">
        <v>82</v>
      </c>
      <c r="K24" s="58">
        <v>55.6</v>
      </c>
      <c r="L24" s="58">
        <v>90.4</v>
      </c>
      <c r="M24" s="58">
        <v>98</v>
      </c>
      <c r="N24" s="58">
        <v>76.099999999999994</v>
      </c>
      <c r="O24" s="58">
        <v>106.7</v>
      </c>
      <c r="P24" s="58">
        <v>95.5</v>
      </c>
      <c r="Q24" s="58">
        <v>73.3</v>
      </c>
      <c r="R24" s="58">
        <v>90.7</v>
      </c>
      <c r="S24" s="58">
        <v>110.3</v>
      </c>
      <c r="T24" s="58">
        <v>6.6</v>
      </c>
      <c r="U24" s="58">
        <v>95.8</v>
      </c>
    </row>
    <row r="25" spans="1:21" x14ac:dyDescent="0.2">
      <c r="A25" s="1" t="str">
        <f t="shared" si="0"/>
        <v>201810</v>
      </c>
      <c r="B25" s="1">
        <f t="shared" si="1"/>
        <v>2018</v>
      </c>
      <c r="C25" s="1">
        <f t="shared" si="2"/>
        <v>10</v>
      </c>
      <c r="D25" s="10">
        <v>43374</v>
      </c>
      <c r="E25" s="58">
        <v>92.3</v>
      </c>
      <c r="F25" s="58">
        <v>98.3</v>
      </c>
      <c r="G25" s="58">
        <v>107.5</v>
      </c>
      <c r="H25" s="58">
        <v>94.7</v>
      </c>
      <c r="I25" s="58">
        <v>117.8</v>
      </c>
      <c r="J25" s="58">
        <v>97</v>
      </c>
      <c r="K25" s="58">
        <v>55.9</v>
      </c>
      <c r="L25" s="58">
        <v>97.1</v>
      </c>
      <c r="M25" s="58">
        <v>94.2</v>
      </c>
      <c r="N25" s="58">
        <v>89.4</v>
      </c>
      <c r="O25" s="58">
        <v>120.3</v>
      </c>
      <c r="P25" s="58">
        <v>90.3</v>
      </c>
      <c r="Q25" s="58">
        <v>76.2</v>
      </c>
      <c r="R25" s="58">
        <v>121.3</v>
      </c>
      <c r="S25" s="58">
        <v>123.8</v>
      </c>
      <c r="T25" s="58">
        <v>6.7</v>
      </c>
      <c r="U25" s="58">
        <v>90.6</v>
      </c>
    </row>
    <row r="26" spans="1:21" x14ac:dyDescent="0.2">
      <c r="A26" s="1" t="str">
        <f t="shared" si="0"/>
        <v>201811</v>
      </c>
      <c r="B26" s="1">
        <f t="shared" si="1"/>
        <v>2018</v>
      </c>
      <c r="C26" s="1">
        <f t="shared" si="2"/>
        <v>11</v>
      </c>
      <c r="D26" s="10">
        <v>43405</v>
      </c>
      <c r="E26" s="58">
        <v>90.4</v>
      </c>
      <c r="F26" s="58">
        <v>91.3</v>
      </c>
      <c r="G26" s="58">
        <v>105.2</v>
      </c>
      <c r="H26" s="58">
        <v>85.8</v>
      </c>
      <c r="I26" s="58">
        <v>111</v>
      </c>
      <c r="J26" s="58">
        <v>98.6</v>
      </c>
      <c r="K26" s="58">
        <v>57.1</v>
      </c>
      <c r="L26" s="58">
        <v>83.3</v>
      </c>
      <c r="M26" s="58">
        <v>93.8</v>
      </c>
      <c r="N26" s="58">
        <v>78.900000000000006</v>
      </c>
      <c r="O26" s="58">
        <v>106</v>
      </c>
      <c r="P26" s="58">
        <v>89</v>
      </c>
      <c r="Q26" s="58">
        <v>73.8</v>
      </c>
      <c r="R26" s="58">
        <v>88.8</v>
      </c>
      <c r="S26" s="58">
        <v>108.2</v>
      </c>
      <c r="T26" s="58">
        <v>6.1</v>
      </c>
      <c r="U26" s="58">
        <v>94.7</v>
      </c>
    </row>
    <row r="27" spans="1:21" x14ac:dyDescent="0.2">
      <c r="A27" s="1" t="str">
        <f t="shared" si="0"/>
        <v>201812</v>
      </c>
      <c r="B27" s="1">
        <f t="shared" si="1"/>
        <v>2018</v>
      </c>
      <c r="C27" s="1">
        <f t="shared" si="2"/>
        <v>12</v>
      </c>
      <c r="D27" s="10">
        <v>43435</v>
      </c>
      <c r="E27" s="65">
        <v>93.6</v>
      </c>
      <c r="F27" s="65">
        <v>94.1</v>
      </c>
      <c r="G27" s="65">
        <v>114</v>
      </c>
      <c r="H27" s="65">
        <v>86.2</v>
      </c>
      <c r="I27" s="65">
        <v>128.19999999999999</v>
      </c>
      <c r="J27" s="65">
        <v>116.2</v>
      </c>
      <c r="K27" s="65">
        <v>55.7</v>
      </c>
      <c r="L27" s="65">
        <v>88.2</v>
      </c>
      <c r="M27" s="65">
        <v>69.5</v>
      </c>
      <c r="N27" s="65">
        <v>118.4</v>
      </c>
      <c r="O27" s="65">
        <v>97</v>
      </c>
      <c r="P27" s="65">
        <v>90.4</v>
      </c>
      <c r="Q27" s="65">
        <v>71.2</v>
      </c>
      <c r="R27" s="65">
        <v>79.3</v>
      </c>
      <c r="S27" s="65">
        <v>78.900000000000006</v>
      </c>
      <c r="T27" s="65">
        <v>4</v>
      </c>
      <c r="U27" s="65">
        <v>89.8</v>
      </c>
    </row>
    <row r="28" spans="1:21" x14ac:dyDescent="0.2">
      <c r="A28" s="1" t="str">
        <f t="shared" si="0"/>
        <v>20191</v>
      </c>
      <c r="B28" s="1">
        <f t="shared" si="1"/>
        <v>2019</v>
      </c>
      <c r="C28" s="1">
        <f t="shared" si="2"/>
        <v>1</v>
      </c>
      <c r="D28" s="10">
        <v>43466</v>
      </c>
      <c r="E28" s="64">
        <v>92.2</v>
      </c>
      <c r="F28" s="64">
        <v>92.9</v>
      </c>
      <c r="G28" s="64">
        <v>111.7</v>
      </c>
      <c r="H28" s="64">
        <v>85.5</v>
      </c>
      <c r="I28" s="64">
        <v>129.30000000000001</v>
      </c>
      <c r="J28" s="64">
        <v>104.1</v>
      </c>
      <c r="K28" s="64">
        <v>55</v>
      </c>
      <c r="L28" s="64">
        <v>84.2</v>
      </c>
      <c r="M28" s="64">
        <v>72.2</v>
      </c>
      <c r="N28" s="64">
        <v>86.2</v>
      </c>
      <c r="O28" s="64">
        <v>107.5</v>
      </c>
      <c r="P28" s="64">
        <v>84.2</v>
      </c>
      <c r="Q28" s="64">
        <v>75.8</v>
      </c>
      <c r="R28" s="64">
        <v>75.900000000000006</v>
      </c>
      <c r="S28" s="64">
        <v>99.7</v>
      </c>
      <c r="T28" s="64">
        <v>5.7</v>
      </c>
      <c r="U28" s="64">
        <v>95.3</v>
      </c>
    </row>
    <row r="29" spans="1:21" x14ac:dyDescent="0.2">
      <c r="A29" s="1" t="str">
        <f t="shared" si="0"/>
        <v>20192</v>
      </c>
      <c r="B29" s="1">
        <f t="shared" si="1"/>
        <v>2019</v>
      </c>
      <c r="C29" s="1">
        <f t="shared" si="2"/>
        <v>2</v>
      </c>
      <c r="D29" s="10">
        <v>43497</v>
      </c>
      <c r="E29" s="58">
        <v>90.4</v>
      </c>
      <c r="F29" s="58">
        <v>84.7</v>
      </c>
      <c r="G29" s="58">
        <v>96.2</v>
      </c>
      <c r="H29" s="58">
        <v>80.2</v>
      </c>
      <c r="I29" s="58">
        <v>100.5</v>
      </c>
      <c r="J29" s="58">
        <v>87.7</v>
      </c>
      <c r="K29" s="58">
        <v>55.8</v>
      </c>
      <c r="L29" s="58">
        <v>81.099999999999994</v>
      </c>
      <c r="M29" s="58">
        <v>57.9</v>
      </c>
      <c r="N29" s="58">
        <v>81.8</v>
      </c>
      <c r="O29" s="58">
        <v>98.7</v>
      </c>
      <c r="P29" s="58">
        <v>77.400000000000006</v>
      </c>
      <c r="Q29" s="58">
        <v>67.900000000000006</v>
      </c>
      <c r="R29" s="58">
        <v>75</v>
      </c>
      <c r="S29" s="58">
        <v>110.8</v>
      </c>
      <c r="T29" s="58">
        <v>5.0999999999999996</v>
      </c>
      <c r="U29" s="58">
        <v>96.2</v>
      </c>
    </row>
    <row r="30" spans="1:21" x14ac:dyDescent="0.2">
      <c r="A30" s="1" t="str">
        <f t="shared" si="0"/>
        <v>20193</v>
      </c>
      <c r="B30" s="1">
        <f t="shared" si="1"/>
        <v>2019</v>
      </c>
      <c r="C30" s="1">
        <f t="shared" si="2"/>
        <v>3</v>
      </c>
      <c r="D30" s="10">
        <v>43525</v>
      </c>
      <c r="E30" s="58">
        <v>92.1</v>
      </c>
      <c r="F30" s="58">
        <v>88.9</v>
      </c>
      <c r="G30" s="58">
        <v>109</v>
      </c>
      <c r="H30" s="58">
        <v>81</v>
      </c>
      <c r="I30" s="58">
        <v>71</v>
      </c>
      <c r="J30" s="58">
        <v>91.3</v>
      </c>
      <c r="K30" s="58">
        <v>54.9</v>
      </c>
      <c r="L30" s="58">
        <v>89.2</v>
      </c>
      <c r="M30" s="58">
        <v>58.7</v>
      </c>
      <c r="N30" s="58">
        <v>62.5</v>
      </c>
      <c r="O30" s="58">
        <v>91.1</v>
      </c>
      <c r="P30" s="58">
        <v>83</v>
      </c>
      <c r="Q30" s="58">
        <v>76.5</v>
      </c>
      <c r="R30" s="58">
        <v>94.8</v>
      </c>
      <c r="S30" s="58">
        <v>92.2</v>
      </c>
      <c r="T30" s="58">
        <v>4.4000000000000004</v>
      </c>
      <c r="U30" s="58">
        <v>94</v>
      </c>
    </row>
    <row r="31" spans="1:21" x14ac:dyDescent="0.2">
      <c r="A31" s="1" t="str">
        <f t="shared" si="0"/>
        <v>20194</v>
      </c>
      <c r="B31" s="1">
        <f t="shared" si="1"/>
        <v>2019</v>
      </c>
      <c r="C31" s="1">
        <f t="shared" si="2"/>
        <v>4</v>
      </c>
      <c r="D31" s="10">
        <v>43556</v>
      </c>
      <c r="E31" s="58">
        <v>88</v>
      </c>
      <c r="F31" s="58">
        <v>86.4</v>
      </c>
      <c r="G31" s="58">
        <v>109.6</v>
      </c>
      <c r="H31" s="58">
        <v>77.2</v>
      </c>
      <c r="I31" s="58">
        <v>82.8</v>
      </c>
      <c r="J31" s="58">
        <v>84.8</v>
      </c>
      <c r="K31" s="58">
        <v>69.099999999999994</v>
      </c>
      <c r="L31" s="58">
        <v>73.2</v>
      </c>
      <c r="M31" s="58">
        <v>61.4</v>
      </c>
      <c r="N31" s="58">
        <v>56</v>
      </c>
      <c r="O31" s="58">
        <v>102.1</v>
      </c>
      <c r="P31" s="58">
        <v>90.6</v>
      </c>
      <c r="Q31" s="58">
        <v>70.2</v>
      </c>
      <c r="R31" s="58">
        <v>89.8</v>
      </c>
      <c r="S31" s="58">
        <v>116</v>
      </c>
      <c r="T31" s="58">
        <v>5.7</v>
      </c>
      <c r="U31" s="58">
        <v>96.4</v>
      </c>
    </row>
    <row r="32" spans="1:21" x14ac:dyDescent="0.2">
      <c r="A32" s="1" t="str">
        <f t="shared" si="0"/>
        <v>20195</v>
      </c>
      <c r="B32" s="1">
        <f t="shared" si="1"/>
        <v>2019</v>
      </c>
      <c r="C32" s="1">
        <f t="shared" si="2"/>
        <v>5</v>
      </c>
      <c r="D32" s="10">
        <v>43586</v>
      </c>
      <c r="E32" s="58">
        <v>95.2</v>
      </c>
      <c r="F32" s="58">
        <v>95.6</v>
      </c>
      <c r="G32" s="58">
        <v>120.7</v>
      </c>
      <c r="H32" s="58">
        <v>85.7</v>
      </c>
      <c r="I32" s="58">
        <v>69.400000000000006</v>
      </c>
      <c r="J32" s="58">
        <v>87</v>
      </c>
      <c r="K32" s="58">
        <v>54</v>
      </c>
      <c r="L32" s="58">
        <v>95.4</v>
      </c>
      <c r="M32" s="58">
        <v>64.7</v>
      </c>
      <c r="N32" s="58">
        <v>69.7</v>
      </c>
      <c r="O32" s="58">
        <v>105.5</v>
      </c>
      <c r="P32" s="58">
        <v>94.8</v>
      </c>
      <c r="Q32" s="58">
        <v>67.900000000000006</v>
      </c>
      <c r="R32" s="58">
        <v>96.7</v>
      </c>
      <c r="S32" s="58">
        <v>115.7</v>
      </c>
      <c r="T32" s="58">
        <v>5.7</v>
      </c>
      <c r="U32" s="58">
        <v>102.8</v>
      </c>
    </row>
    <row r="33" spans="1:21" x14ac:dyDescent="0.2">
      <c r="A33" s="1" t="str">
        <f t="shared" ref="A33:A51" si="3">CONCATENATE(B33,C33)</f>
        <v>20196</v>
      </c>
      <c r="B33" s="1">
        <f t="shared" ref="B33:B51" si="4">YEAR(D33)</f>
        <v>2019</v>
      </c>
      <c r="C33" s="1">
        <f t="shared" ref="C33:C51" si="5">MONTH(D33)</f>
        <v>6</v>
      </c>
      <c r="D33" s="10">
        <v>43617</v>
      </c>
      <c r="E33" s="58">
        <v>89.5</v>
      </c>
      <c r="F33" s="58">
        <v>87.6</v>
      </c>
      <c r="G33" s="58">
        <v>105.5</v>
      </c>
      <c r="H33" s="58">
        <v>80.5</v>
      </c>
      <c r="I33" s="58">
        <v>67.8</v>
      </c>
      <c r="J33" s="58">
        <v>81</v>
      </c>
      <c r="K33" s="58">
        <v>115.8</v>
      </c>
      <c r="L33" s="58">
        <v>86.8</v>
      </c>
      <c r="M33" s="58">
        <v>57.7</v>
      </c>
      <c r="N33" s="58">
        <v>63.6</v>
      </c>
      <c r="O33" s="58">
        <v>96.9</v>
      </c>
      <c r="P33" s="58">
        <v>90.6</v>
      </c>
      <c r="Q33" s="58">
        <v>65.099999999999994</v>
      </c>
      <c r="R33" s="58">
        <v>97.8</v>
      </c>
      <c r="S33" s="58">
        <v>101.7</v>
      </c>
      <c r="T33" s="58">
        <v>6.8</v>
      </c>
      <c r="U33" s="58">
        <v>94.1</v>
      </c>
    </row>
    <row r="34" spans="1:21" x14ac:dyDescent="0.2">
      <c r="A34" s="1" t="str">
        <f t="shared" si="3"/>
        <v>20197</v>
      </c>
      <c r="B34" s="1">
        <f t="shared" si="4"/>
        <v>2019</v>
      </c>
      <c r="C34" s="1">
        <f t="shared" si="5"/>
        <v>7</v>
      </c>
      <c r="D34" s="10">
        <v>43647</v>
      </c>
      <c r="E34" s="58">
        <v>95.6</v>
      </c>
      <c r="F34" s="58">
        <v>100.3</v>
      </c>
      <c r="G34" s="58">
        <v>124.9</v>
      </c>
      <c r="H34" s="58">
        <v>90.6</v>
      </c>
      <c r="I34" s="58">
        <v>92</v>
      </c>
      <c r="J34" s="58">
        <v>81.400000000000006</v>
      </c>
      <c r="K34" s="58">
        <v>118.6</v>
      </c>
      <c r="L34" s="58">
        <v>98.3</v>
      </c>
      <c r="M34" s="58">
        <v>76</v>
      </c>
      <c r="N34" s="58">
        <v>66.900000000000006</v>
      </c>
      <c r="O34" s="58">
        <v>104.1</v>
      </c>
      <c r="P34" s="58">
        <v>95.4</v>
      </c>
      <c r="Q34" s="58">
        <v>65.2</v>
      </c>
      <c r="R34" s="58">
        <v>101.8</v>
      </c>
      <c r="S34" s="58">
        <v>129.1</v>
      </c>
      <c r="T34" s="58">
        <v>10.199999999999999</v>
      </c>
      <c r="U34" s="58">
        <v>104.5</v>
      </c>
    </row>
    <row r="35" spans="1:21" x14ac:dyDescent="0.2">
      <c r="A35" s="1" t="str">
        <f t="shared" si="3"/>
        <v>20198</v>
      </c>
      <c r="B35" s="1">
        <f>YEAR(D35)</f>
        <v>2019</v>
      </c>
      <c r="C35" s="1">
        <f>MONTH(D35)</f>
        <v>8</v>
      </c>
      <c r="D35" s="10">
        <v>43678</v>
      </c>
      <c r="E35" s="57">
        <v>96.9</v>
      </c>
      <c r="F35" s="57">
        <v>99.2</v>
      </c>
      <c r="G35" s="57">
        <v>135</v>
      </c>
      <c r="H35" s="57">
        <v>85.1</v>
      </c>
      <c r="I35" s="57">
        <v>89.3</v>
      </c>
      <c r="J35" s="57">
        <v>79.599999999999994</v>
      </c>
      <c r="K35" s="57">
        <v>67</v>
      </c>
      <c r="L35" s="57">
        <v>91</v>
      </c>
      <c r="M35" s="57">
        <v>86.6</v>
      </c>
      <c r="N35" s="57">
        <v>65.8</v>
      </c>
      <c r="O35" s="57">
        <v>105.6</v>
      </c>
      <c r="P35" s="57">
        <v>102.4</v>
      </c>
      <c r="Q35" s="57">
        <v>57.8</v>
      </c>
      <c r="R35" s="57">
        <v>98.1</v>
      </c>
      <c r="S35" s="57">
        <v>119.4</v>
      </c>
      <c r="T35" s="57">
        <v>11.3</v>
      </c>
      <c r="U35" s="57">
        <v>97.9</v>
      </c>
    </row>
    <row r="36" spans="1:21" x14ac:dyDescent="0.2">
      <c r="A36" s="1" t="str">
        <f t="shared" si="3"/>
        <v>20199</v>
      </c>
      <c r="B36" s="1">
        <f t="shared" si="4"/>
        <v>2019</v>
      </c>
      <c r="C36" s="1">
        <f t="shared" si="5"/>
        <v>9</v>
      </c>
      <c r="D36" s="10">
        <v>43709</v>
      </c>
      <c r="E36" s="57">
        <v>96.3</v>
      </c>
      <c r="F36" s="57">
        <v>97.1</v>
      </c>
      <c r="G36" s="57">
        <v>127</v>
      </c>
      <c r="H36" s="57">
        <v>85.4</v>
      </c>
      <c r="I36" s="57">
        <v>94</v>
      </c>
      <c r="J36" s="57">
        <v>83.5</v>
      </c>
      <c r="K36" s="57">
        <v>67.400000000000006</v>
      </c>
      <c r="L36" s="57">
        <v>90.5</v>
      </c>
      <c r="M36" s="57">
        <v>95</v>
      </c>
      <c r="N36" s="57">
        <v>64.400000000000006</v>
      </c>
      <c r="O36" s="57">
        <v>101.4</v>
      </c>
      <c r="P36" s="57">
        <v>93.4</v>
      </c>
      <c r="Q36" s="57">
        <v>63.2</v>
      </c>
      <c r="R36" s="57">
        <v>90</v>
      </c>
      <c r="S36" s="57">
        <v>114.6</v>
      </c>
      <c r="T36" s="57">
        <v>10.8</v>
      </c>
      <c r="U36" s="57">
        <v>93.7</v>
      </c>
    </row>
    <row r="37" spans="1:21" x14ac:dyDescent="0.2">
      <c r="A37" s="1" t="str">
        <f t="shared" ref="A37:A40" si="6">CONCATENATE(B37,C37)</f>
        <v>201910</v>
      </c>
      <c r="B37" s="1">
        <f t="shared" ref="B37:B40" si="7">YEAR(D37)</f>
        <v>2019</v>
      </c>
      <c r="C37" s="1">
        <f t="shared" ref="C37:C40" si="8">MONTH(D37)</f>
        <v>10</v>
      </c>
      <c r="D37" s="10">
        <v>43739</v>
      </c>
      <c r="E37" s="66">
        <v>97.1</v>
      </c>
      <c r="F37" s="66">
        <v>104.1</v>
      </c>
      <c r="G37" s="66">
        <v>132.19999999999999</v>
      </c>
      <c r="H37" s="66">
        <v>93</v>
      </c>
      <c r="I37" s="66">
        <v>112.2</v>
      </c>
      <c r="J37" s="66">
        <v>97.2</v>
      </c>
      <c r="K37" s="66">
        <v>64.3</v>
      </c>
      <c r="L37" s="66">
        <v>102.3</v>
      </c>
      <c r="M37" s="66">
        <v>82.1</v>
      </c>
      <c r="N37" s="66">
        <v>65.099999999999994</v>
      </c>
      <c r="O37" s="66">
        <v>102.5</v>
      </c>
      <c r="P37" s="66">
        <v>103.3</v>
      </c>
      <c r="Q37" s="66">
        <v>64</v>
      </c>
      <c r="R37" s="66">
        <v>96.8</v>
      </c>
      <c r="S37" s="66">
        <v>132.1</v>
      </c>
      <c r="T37" s="66">
        <v>11.9</v>
      </c>
      <c r="U37" s="66">
        <v>101.9</v>
      </c>
    </row>
    <row r="38" spans="1:21" x14ac:dyDescent="0.2">
      <c r="A38" s="1" t="str">
        <f t="shared" si="6"/>
        <v>201911</v>
      </c>
      <c r="B38" s="1">
        <f t="shared" si="7"/>
        <v>2019</v>
      </c>
      <c r="C38" s="1">
        <f t="shared" si="8"/>
        <v>11</v>
      </c>
      <c r="D38" s="10">
        <v>43770</v>
      </c>
      <c r="E38" s="67">
        <v>101</v>
      </c>
      <c r="F38" s="68">
        <v>103.6</v>
      </c>
      <c r="G38" s="68">
        <v>139.4</v>
      </c>
      <c r="H38" s="68">
        <v>89.4</v>
      </c>
      <c r="I38" s="68">
        <v>97.3</v>
      </c>
      <c r="J38" s="68">
        <v>99.6</v>
      </c>
      <c r="K38" s="68">
        <v>40.9</v>
      </c>
      <c r="L38" s="68">
        <v>105.9</v>
      </c>
      <c r="M38" s="68">
        <v>72.400000000000006</v>
      </c>
      <c r="N38" s="68">
        <v>66.400000000000006</v>
      </c>
      <c r="O38" s="68">
        <v>98.2</v>
      </c>
      <c r="P38" s="68">
        <v>100.1</v>
      </c>
      <c r="Q38" s="68">
        <v>70.8</v>
      </c>
      <c r="R38" s="68">
        <v>82.6</v>
      </c>
      <c r="S38" s="68">
        <v>95</v>
      </c>
      <c r="T38" s="68">
        <v>10.7</v>
      </c>
      <c r="U38" s="68">
        <v>92.9</v>
      </c>
    </row>
    <row r="39" spans="1:21" x14ac:dyDescent="0.2">
      <c r="A39" s="1" t="str">
        <f t="shared" si="6"/>
        <v>201912</v>
      </c>
      <c r="B39" s="1">
        <f t="shared" si="7"/>
        <v>2019</v>
      </c>
      <c r="C39" s="1">
        <f t="shared" si="8"/>
        <v>12</v>
      </c>
      <c r="D39" s="10">
        <v>43800</v>
      </c>
      <c r="E39" s="65">
        <v>97.1</v>
      </c>
      <c r="F39" s="101">
        <v>98.5</v>
      </c>
      <c r="G39" s="101">
        <v>145.4</v>
      </c>
      <c r="H39" s="101">
        <v>80</v>
      </c>
      <c r="I39" s="101">
        <v>75</v>
      </c>
      <c r="J39" s="101">
        <v>114</v>
      </c>
      <c r="K39" s="101">
        <v>60.3</v>
      </c>
      <c r="L39" s="101">
        <v>94.6</v>
      </c>
      <c r="M39" s="101">
        <v>51.7</v>
      </c>
      <c r="N39" s="101">
        <v>63.5</v>
      </c>
      <c r="O39" s="101">
        <v>72.5</v>
      </c>
      <c r="P39" s="101">
        <v>96.9</v>
      </c>
      <c r="Q39" s="101">
        <v>72.400000000000006</v>
      </c>
      <c r="R39" s="101">
        <v>83.2</v>
      </c>
      <c r="S39" s="101">
        <v>61.5</v>
      </c>
      <c r="T39" s="102">
        <v>8</v>
      </c>
      <c r="U39" s="101">
        <v>86.2</v>
      </c>
    </row>
    <row r="40" spans="1:21" x14ac:dyDescent="0.2">
      <c r="A40" s="1" t="str">
        <f t="shared" si="6"/>
        <v>19001</v>
      </c>
      <c r="B40" s="1">
        <f t="shared" si="7"/>
        <v>1900</v>
      </c>
      <c r="C40" s="1">
        <f t="shared" si="8"/>
        <v>1</v>
      </c>
      <c r="D40" s="10"/>
      <c r="E40" s="65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2"/>
      <c r="U40" s="101"/>
    </row>
    <row r="41" spans="1:21" x14ac:dyDescent="0.2">
      <c r="A41" s="1" t="str">
        <f t="shared" si="3"/>
        <v>19001</v>
      </c>
      <c r="B41" s="1">
        <f t="shared" si="4"/>
        <v>1900</v>
      </c>
      <c r="C41" s="1">
        <f t="shared" si="5"/>
        <v>1</v>
      </c>
      <c r="D41" s="10"/>
    </row>
    <row r="42" spans="1:21" x14ac:dyDescent="0.2">
      <c r="A42" s="1" t="str">
        <f t="shared" si="3"/>
        <v>19001</v>
      </c>
      <c r="B42" s="1">
        <f t="shared" si="4"/>
        <v>1900</v>
      </c>
      <c r="C42" s="1">
        <f t="shared" si="5"/>
        <v>1</v>
      </c>
      <c r="D42" s="10"/>
    </row>
    <row r="43" spans="1:21" x14ac:dyDescent="0.2">
      <c r="A43" s="1" t="str">
        <f t="shared" si="3"/>
        <v>19001</v>
      </c>
      <c r="B43" s="1">
        <f t="shared" si="4"/>
        <v>1900</v>
      </c>
      <c r="C43" s="1">
        <f t="shared" si="5"/>
        <v>1</v>
      </c>
      <c r="D43" s="10"/>
    </row>
    <row r="44" spans="1:21" x14ac:dyDescent="0.2">
      <c r="A44" s="1" t="str">
        <f t="shared" si="3"/>
        <v>19001</v>
      </c>
      <c r="B44" s="1">
        <f t="shared" si="4"/>
        <v>1900</v>
      </c>
      <c r="C44" s="1">
        <f t="shared" si="5"/>
        <v>1</v>
      </c>
      <c r="D44" s="10"/>
    </row>
    <row r="45" spans="1:21" x14ac:dyDescent="0.2">
      <c r="A45" s="1" t="str">
        <f t="shared" si="3"/>
        <v>19001</v>
      </c>
      <c r="B45" s="1">
        <f t="shared" si="4"/>
        <v>1900</v>
      </c>
      <c r="C45" s="1">
        <f t="shared" si="5"/>
        <v>1</v>
      </c>
      <c r="D45" s="10"/>
    </row>
    <row r="46" spans="1:21" x14ac:dyDescent="0.2">
      <c r="A46" s="1" t="str">
        <f t="shared" si="3"/>
        <v>19001</v>
      </c>
      <c r="B46" s="1">
        <f t="shared" si="4"/>
        <v>1900</v>
      </c>
      <c r="C46" s="1">
        <f t="shared" si="5"/>
        <v>1</v>
      </c>
      <c r="D46" s="10"/>
    </row>
    <row r="47" spans="1:21" x14ac:dyDescent="0.2">
      <c r="A47" s="1" t="str">
        <f t="shared" si="3"/>
        <v>19001</v>
      </c>
      <c r="B47" s="1">
        <f t="shared" si="4"/>
        <v>1900</v>
      </c>
      <c r="C47" s="1">
        <f t="shared" si="5"/>
        <v>1</v>
      </c>
      <c r="D47" s="10"/>
    </row>
    <row r="48" spans="1:21" x14ac:dyDescent="0.2">
      <c r="A48" s="1" t="str">
        <f t="shared" si="3"/>
        <v>19001</v>
      </c>
      <c r="B48" s="1">
        <f t="shared" si="4"/>
        <v>1900</v>
      </c>
      <c r="C48" s="1">
        <f t="shared" si="5"/>
        <v>1</v>
      </c>
      <c r="D48" s="10"/>
    </row>
    <row r="49" spans="1:4" x14ac:dyDescent="0.2">
      <c r="A49" s="1" t="str">
        <f t="shared" si="3"/>
        <v>19001</v>
      </c>
      <c r="B49" s="1">
        <f t="shared" si="4"/>
        <v>1900</v>
      </c>
      <c r="C49" s="1">
        <f t="shared" si="5"/>
        <v>1</v>
      </c>
      <c r="D49" s="10"/>
    </row>
    <row r="50" spans="1:4" x14ac:dyDescent="0.2">
      <c r="A50" s="1" t="str">
        <f t="shared" si="3"/>
        <v>19001</v>
      </c>
      <c r="B50" s="1">
        <f t="shared" si="4"/>
        <v>1900</v>
      </c>
      <c r="C50" s="1">
        <f t="shared" si="5"/>
        <v>1</v>
      </c>
      <c r="D50" s="10"/>
    </row>
    <row r="51" spans="1:4" x14ac:dyDescent="0.2">
      <c r="A51" s="1" t="str">
        <f t="shared" si="3"/>
        <v>19001</v>
      </c>
      <c r="B51" s="1">
        <f t="shared" si="4"/>
        <v>1900</v>
      </c>
      <c r="C51" s="1">
        <f t="shared" si="5"/>
        <v>1</v>
      </c>
      <c r="D51" s="10"/>
    </row>
    <row r="52" spans="1:4" x14ac:dyDescent="0.2">
      <c r="D52" s="10"/>
    </row>
    <row r="53" spans="1:4" x14ac:dyDescent="0.2">
      <c r="D53" s="10"/>
    </row>
    <row r="54" spans="1:4" x14ac:dyDescent="0.2">
      <c r="D54" s="10"/>
    </row>
    <row r="55" spans="1:4" x14ac:dyDescent="0.2">
      <c r="D55" s="10"/>
    </row>
    <row r="56" spans="1:4" x14ac:dyDescent="0.2">
      <c r="D56" s="10"/>
    </row>
    <row r="57" spans="1:4" x14ac:dyDescent="0.2">
      <c r="D57" s="10"/>
    </row>
    <row r="58" spans="1:4" x14ac:dyDescent="0.2">
      <c r="D58" s="10"/>
    </row>
    <row r="59" spans="1:4" x14ac:dyDescent="0.2">
      <c r="D59" s="10"/>
    </row>
    <row r="60" spans="1:4" x14ac:dyDescent="0.2">
      <c r="D60" s="10"/>
    </row>
    <row r="61" spans="1:4" x14ac:dyDescent="0.2">
      <c r="D61" s="10"/>
    </row>
    <row r="62" spans="1:4" x14ac:dyDescent="0.2">
      <c r="D62" s="10"/>
    </row>
    <row r="63" spans="1:4" x14ac:dyDescent="0.2">
      <c r="D63" s="10"/>
    </row>
    <row r="64" spans="1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19" zoomScale="85" zoomScaleNormal="85" workbookViewId="0">
      <selection activeCell="F34" sqref="F34"/>
    </sheetView>
  </sheetViews>
  <sheetFormatPr defaultRowHeight="15" x14ac:dyDescent="0.25"/>
  <cols>
    <col min="5" max="5" width="14" customWidth="1"/>
    <col min="6" max="6" width="14.140625" customWidth="1"/>
    <col min="7" max="7" width="19.85546875" customWidth="1"/>
  </cols>
  <sheetData>
    <row r="1" spans="1:21" x14ac:dyDescent="0.25">
      <c r="D1" s="11" t="s">
        <v>36</v>
      </c>
      <c r="E1" s="31"/>
      <c r="F1" s="31"/>
      <c r="G1" s="31"/>
    </row>
    <row r="2" spans="1:21" x14ac:dyDescent="0.25">
      <c r="D2" s="15"/>
      <c r="E2" s="14"/>
      <c r="F2" s="14"/>
      <c r="G2" s="14"/>
    </row>
    <row r="3" spans="1:21" ht="101.25" x14ac:dyDescent="0.25">
      <c r="D3" s="12" t="s">
        <v>3</v>
      </c>
      <c r="E3" s="62" t="s">
        <v>20</v>
      </c>
      <c r="F3" s="62" t="s">
        <v>21</v>
      </c>
      <c r="G3" s="62" t="s">
        <v>14</v>
      </c>
      <c r="H3" s="62" t="s">
        <v>15</v>
      </c>
      <c r="I3" s="62" t="s">
        <v>22</v>
      </c>
      <c r="J3" s="62" t="s">
        <v>23</v>
      </c>
      <c r="K3" s="62" t="s">
        <v>24</v>
      </c>
      <c r="L3" s="62" t="s">
        <v>25</v>
      </c>
      <c r="M3" s="62" t="s">
        <v>26</v>
      </c>
      <c r="N3" s="62" t="s">
        <v>27</v>
      </c>
      <c r="O3" s="62" t="s">
        <v>28</v>
      </c>
      <c r="P3" s="62" t="s">
        <v>29</v>
      </c>
      <c r="Q3" s="62" t="s">
        <v>30</v>
      </c>
      <c r="R3" s="62" t="s">
        <v>31</v>
      </c>
      <c r="S3" s="62" t="s">
        <v>32</v>
      </c>
      <c r="T3" s="62" t="s">
        <v>33</v>
      </c>
      <c r="U3" s="63" t="s">
        <v>34</v>
      </c>
    </row>
    <row r="4" spans="1:21" x14ac:dyDescent="0.25">
      <c r="A4" t="str">
        <f>dados!A4</f>
        <v>20171</v>
      </c>
      <c r="B4">
        <f>dados!B4</f>
        <v>2017</v>
      </c>
      <c r="C4">
        <f>dados!C4</f>
        <v>1</v>
      </c>
      <c r="D4" s="16">
        <f>dados!D4</f>
        <v>42736</v>
      </c>
      <c r="E4" s="69">
        <f>ABS(SUMPRODUCT(dados!E:E,-(dados!$B:$B=$B4),-(dados!$C:$C&lt;=$C4)))</f>
        <v>88.6</v>
      </c>
      <c r="F4" s="69">
        <f>ABS(SUMPRODUCT(dados!F:F,-(dados!$B:$B=$B4),-(dados!$C:$C&lt;=$C4)))</f>
        <v>89.2</v>
      </c>
      <c r="G4" s="69">
        <f>ABS(SUMPRODUCT(dados!G:G,-(dados!$B:$B=$B4),-(dados!$C:$C&lt;=$C4)))</f>
        <v>112.7</v>
      </c>
      <c r="H4" s="69">
        <f>ABS(SUMPRODUCT(dados!H:H,-(dados!$B:$B=$B4),-(dados!$C:$C&lt;=$C4)))</f>
        <v>79.900000000000006</v>
      </c>
      <c r="I4" s="69">
        <f>ABS(SUMPRODUCT(dados!I:I,-(dados!$B:$B=$B4),-(dados!$C:$C&lt;=$C4)))</f>
        <v>83</v>
      </c>
      <c r="J4" s="69">
        <f>ABS(SUMPRODUCT(dados!J:J,-(dados!$B:$B=$B4),-(dados!$C:$C&lt;=$C4)))</f>
        <v>113.1</v>
      </c>
      <c r="K4" s="69">
        <f>ABS(SUMPRODUCT(dados!K:K,-(dados!$B:$B=$B4),-(dados!$C:$C&lt;=$C4)))</f>
        <v>63.2</v>
      </c>
      <c r="L4" s="69">
        <f>ABS(SUMPRODUCT(dados!L:L,-(dados!$B:$B=$B4),-(dados!$C:$C&lt;=$C4)))</f>
        <v>80.3</v>
      </c>
      <c r="M4" s="69">
        <f>ABS(SUMPRODUCT(dados!M:M,-(dados!$B:$B=$B4),-(dados!$C:$C&lt;=$C4)))</f>
        <v>71</v>
      </c>
      <c r="N4" s="69">
        <f>ABS(SUMPRODUCT(dados!N:N,-(dados!$B:$B=$B4),-(dados!$C:$C&lt;=$C4)))</f>
        <v>81.400000000000006</v>
      </c>
      <c r="O4" s="69">
        <f>ABS(SUMPRODUCT(dados!O:O,-(dados!$B:$B=$B4),-(dados!$C:$C&lt;=$C4)))</f>
        <v>105.2</v>
      </c>
      <c r="P4" s="69">
        <f>ABS(SUMPRODUCT(dados!P:P,-(dados!$B:$B=$B4),-(dados!$C:$C&lt;=$C4)))</f>
        <v>72.7</v>
      </c>
      <c r="Q4" s="69">
        <f>ABS(SUMPRODUCT(dados!Q:Q,-(dados!$B:$B=$B4),-(dados!$C:$C&lt;=$C4)))</f>
        <v>75</v>
      </c>
      <c r="R4" s="69">
        <f>ABS(SUMPRODUCT(dados!R:R,-(dados!$B:$B=$B4),-(dados!$C:$C&lt;=$C4)))</f>
        <v>83</v>
      </c>
      <c r="S4" s="69">
        <f>ABS(SUMPRODUCT(dados!S:S,-(dados!$B:$B=$B4),-(dados!$C:$C&lt;=$C4)))</f>
        <v>65.2</v>
      </c>
      <c r="T4" s="69">
        <f>ABS(SUMPRODUCT(dados!T:T,-(dados!$B:$B=$B4),-(dados!$C:$C&lt;=$C4)))</f>
        <v>24.9</v>
      </c>
      <c r="U4" s="69">
        <f>ABS(SUMPRODUCT(dados!U:U,-(dados!$B:$B=$B4),-(dados!$C:$C&lt;=$C4)))</f>
        <v>104.3</v>
      </c>
    </row>
    <row r="5" spans="1:21" x14ac:dyDescent="0.25">
      <c r="A5" t="str">
        <f>dados!A5</f>
        <v>20172</v>
      </c>
      <c r="B5">
        <f>dados!B5</f>
        <v>2017</v>
      </c>
      <c r="C5">
        <f>dados!C5</f>
        <v>2</v>
      </c>
      <c r="D5" s="16">
        <f>dados!D5</f>
        <v>42767</v>
      </c>
      <c r="E5" s="69">
        <f>ABS(SUMPRODUCT(dados!E:E,-(dados!$B:$B=$B5),-(dados!$C:$C&lt;=$C5)))</f>
        <v>179.7</v>
      </c>
      <c r="F5" s="69">
        <f>ABS(SUMPRODUCT(dados!F:F,-(dados!$B:$B=$B5),-(dados!$C:$C&lt;=$C5)))</f>
        <v>172</v>
      </c>
      <c r="G5" s="69">
        <f>ABS(SUMPRODUCT(dados!G:G,-(dados!$B:$B=$B5),-(dados!$C:$C&lt;=$C5)))</f>
        <v>212.9</v>
      </c>
      <c r="H5" s="69">
        <f>ABS(SUMPRODUCT(dados!H:H,-(dados!$B:$B=$B5),-(dados!$C:$C&lt;=$C5)))</f>
        <v>155.9</v>
      </c>
      <c r="I5" s="69">
        <f>ABS(SUMPRODUCT(dados!I:I,-(dados!$B:$B=$B5),-(dados!$C:$C&lt;=$C5)))</f>
        <v>158.9</v>
      </c>
      <c r="J5" s="69">
        <f>ABS(SUMPRODUCT(dados!J:J,-(dados!$B:$B=$B5),-(dados!$C:$C&lt;=$C5)))</f>
        <v>209.1</v>
      </c>
      <c r="K5" s="69">
        <f>ABS(SUMPRODUCT(dados!K:K,-(dados!$B:$B=$B5),-(dados!$C:$C&lt;=$C5)))</f>
        <v>124.2</v>
      </c>
      <c r="L5" s="69">
        <f>ABS(SUMPRODUCT(dados!L:L,-(dados!$B:$B=$B5),-(dados!$C:$C&lt;=$C5)))</f>
        <v>158.5</v>
      </c>
      <c r="M5" s="69">
        <f>ABS(SUMPRODUCT(dados!M:M,-(dados!$B:$B=$B5),-(dados!$C:$C&lt;=$C5)))</f>
        <v>133.4</v>
      </c>
      <c r="N5" s="69">
        <f>ABS(SUMPRODUCT(dados!N:N,-(dados!$B:$B=$B5),-(dados!$C:$C&lt;=$C5)))</f>
        <v>160.30000000000001</v>
      </c>
      <c r="O5" s="69">
        <f>ABS(SUMPRODUCT(dados!O:O,-(dados!$B:$B=$B5),-(dados!$C:$C&lt;=$C5)))</f>
        <v>193.10000000000002</v>
      </c>
      <c r="P5" s="69">
        <f>ABS(SUMPRODUCT(dados!P:P,-(dados!$B:$B=$B5),-(dados!$C:$C&lt;=$C5)))</f>
        <v>146.30000000000001</v>
      </c>
      <c r="Q5" s="69">
        <f>ABS(SUMPRODUCT(dados!Q:Q,-(dados!$B:$B=$B5),-(dados!$C:$C&lt;=$C5)))</f>
        <v>146.19999999999999</v>
      </c>
      <c r="R5" s="69">
        <f>ABS(SUMPRODUCT(dados!R:R,-(dados!$B:$B=$B5),-(dados!$C:$C&lt;=$C5)))</f>
        <v>166.8</v>
      </c>
      <c r="S5" s="69">
        <f>ABS(SUMPRODUCT(dados!S:S,-(dados!$B:$B=$B5),-(dados!$C:$C&lt;=$C5)))</f>
        <v>134.9</v>
      </c>
      <c r="T5" s="69">
        <f>ABS(SUMPRODUCT(dados!T:T,-(dados!$B:$B=$B5),-(dados!$C:$C&lt;=$C5)))</f>
        <v>45</v>
      </c>
      <c r="U5" s="69">
        <f>ABS(SUMPRODUCT(dados!U:U,-(dados!$B:$B=$B5),-(dados!$C:$C&lt;=$C5)))</f>
        <v>204.7</v>
      </c>
    </row>
    <row r="6" spans="1:21" x14ac:dyDescent="0.25">
      <c r="A6" t="str">
        <f>dados!A6</f>
        <v>20173</v>
      </c>
      <c r="B6">
        <f>dados!B6</f>
        <v>2017</v>
      </c>
      <c r="C6">
        <f>dados!C6</f>
        <v>3</v>
      </c>
      <c r="D6" s="16">
        <f>dados!D6</f>
        <v>42795</v>
      </c>
      <c r="E6" s="69">
        <f>ABS(SUMPRODUCT(dados!E:E,-(dados!$B:$B=$B6),-(dados!$C:$C&lt;=$C6)))</f>
        <v>269.7</v>
      </c>
      <c r="F6" s="69">
        <f>ABS(SUMPRODUCT(dados!F:F,-(dados!$B:$B=$B6),-(dados!$C:$C&lt;=$C6)))</f>
        <v>262.2</v>
      </c>
      <c r="G6" s="69">
        <f>ABS(SUMPRODUCT(dados!G:G,-(dados!$B:$B=$B6),-(dados!$C:$C&lt;=$C6)))</f>
        <v>315.5</v>
      </c>
      <c r="H6" s="69">
        <f>ABS(SUMPRODUCT(dados!H:H,-(dados!$B:$B=$B6),-(dados!$C:$C&lt;=$C6)))</f>
        <v>241.3</v>
      </c>
      <c r="I6" s="69">
        <f>ABS(SUMPRODUCT(dados!I:I,-(dados!$B:$B=$B6),-(dados!$C:$C&lt;=$C6)))</f>
        <v>249.4</v>
      </c>
      <c r="J6" s="69">
        <f>ABS(SUMPRODUCT(dados!J:J,-(dados!$B:$B=$B6),-(dados!$C:$C&lt;=$C6)))</f>
        <v>306</v>
      </c>
      <c r="K6" s="69">
        <f>ABS(SUMPRODUCT(dados!K:K,-(dados!$B:$B=$B6),-(dados!$C:$C&lt;=$C6)))</f>
        <v>187.2</v>
      </c>
      <c r="L6" s="69">
        <f>ABS(SUMPRODUCT(dados!L:L,-(dados!$B:$B=$B6),-(dados!$C:$C&lt;=$C6)))</f>
        <v>244.9</v>
      </c>
      <c r="M6" s="69">
        <f>ABS(SUMPRODUCT(dados!M:M,-(dados!$B:$B=$B6),-(dados!$C:$C&lt;=$C6)))</f>
        <v>205.7</v>
      </c>
      <c r="N6" s="69">
        <f>ABS(SUMPRODUCT(dados!N:N,-(dados!$B:$B=$B6),-(dados!$C:$C&lt;=$C6)))</f>
        <v>243.9</v>
      </c>
      <c r="O6" s="69">
        <f>ABS(SUMPRODUCT(dados!O:O,-(dados!$B:$B=$B6),-(dados!$C:$C&lt;=$C6)))</f>
        <v>289.8</v>
      </c>
      <c r="P6" s="69">
        <f>ABS(SUMPRODUCT(dados!P:P,-(dados!$B:$B=$B6),-(dados!$C:$C&lt;=$C6)))</f>
        <v>224.5</v>
      </c>
      <c r="Q6" s="69">
        <f>ABS(SUMPRODUCT(dados!Q:Q,-(dados!$B:$B=$B6),-(dados!$C:$C&lt;=$C6)))</f>
        <v>228.29999999999998</v>
      </c>
      <c r="R6" s="69">
        <f>ABS(SUMPRODUCT(dados!R:R,-(dados!$B:$B=$B6),-(dados!$C:$C&lt;=$C6)))</f>
        <v>258.60000000000002</v>
      </c>
      <c r="S6" s="69">
        <f>ABS(SUMPRODUCT(dados!S:S,-(dados!$B:$B=$B6),-(dados!$C:$C&lt;=$C6)))</f>
        <v>230.10000000000002</v>
      </c>
      <c r="T6" s="69">
        <f>ABS(SUMPRODUCT(dados!T:T,-(dados!$B:$B=$B6),-(dados!$C:$C&lt;=$C6)))</f>
        <v>67.900000000000006</v>
      </c>
      <c r="U6" s="69">
        <f>ABS(SUMPRODUCT(dados!U:U,-(dados!$B:$B=$B6),-(dados!$C:$C&lt;=$C6)))</f>
        <v>309.7</v>
      </c>
    </row>
    <row r="7" spans="1:21" x14ac:dyDescent="0.25">
      <c r="A7" t="str">
        <f>dados!A7</f>
        <v>20174</v>
      </c>
      <c r="B7">
        <f>dados!B7</f>
        <v>2017</v>
      </c>
      <c r="C7">
        <f>dados!C7</f>
        <v>4</v>
      </c>
      <c r="D7" s="16">
        <f>dados!D7</f>
        <v>42826</v>
      </c>
      <c r="E7" s="69">
        <f>ABS(SUMPRODUCT(dados!E:E,-(dados!$B:$B=$B7),-(dados!$C:$C&lt;=$C7)))</f>
        <v>359.4</v>
      </c>
      <c r="F7" s="69">
        <f>ABS(SUMPRODUCT(dados!F:F,-(dados!$B:$B=$B7),-(dados!$C:$C&lt;=$C7)))</f>
        <v>348.1</v>
      </c>
      <c r="G7" s="69">
        <f>ABS(SUMPRODUCT(dados!G:G,-(dados!$B:$B=$B7),-(dados!$C:$C&lt;=$C7)))</f>
        <v>415.1</v>
      </c>
      <c r="H7" s="69">
        <f>ABS(SUMPRODUCT(dados!H:H,-(dados!$B:$B=$B7),-(dados!$C:$C&lt;=$C7)))</f>
        <v>321.8</v>
      </c>
      <c r="I7" s="69">
        <f>ABS(SUMPRODUCT(dados!I:I,-(dados!$B:$B=$B7),-(dados!$C:$C&lt;=$C7)))</f>
        <v>318.8</v>
      </c>
      <c r="J7" s="69">
        <f>ABS(SUMPRODUCT(dados!J:J,-(dados!$B:$B=$B7),-(dados!$C:$C&lt;=$C7)))</f>
        <v>367.9</v>
      </c>
      <c r="K7" s="69">
        <f>ABS(SUMPRODUCT(dados!K:K,-(dados!$B:$B=$B7),-(dados!$C:$C&lt;=$C7)))</f>
        <v>259.60000000000002</v>
      </c>
      <c r="L7" s="69">
        <f>ABS(SUMPRODUCT(dados!L:L,-(dados!$B:$B=$B7),-(dados!$C:$C&lt;=$C7)))</f>
        <v>333.4</v>
      </c>
      <c r="M7" s="69">
        <f>ABS(SUMPRODUCT(dados!M:M,-(dados!$B:$B=$B7),-(dados!$C:$C&lt;=$C7)))</f>
        <v>265.89999999999998</v>
      </c>
      <c r="N7" s="69">
        <f>ABS(SUMPRODUCT(dados!N:N,-(dados!$B:$B=$B7),-(dados!$C:$C&lt;=$C7)))</f>
        <v>319.39999999999998</v>
      </c>
      <c r="O7" s="69">
        <f>ABS(SUMPRODUCT(dados!O:O,-(dados!$B:$B=$B7),-(dados!$C:$C&lt;=$C7)))</f>
        <v>398</v>
      </c>
      <c r="P7" s="69">
        <f>ABS(SUMPRODUCT(dados!P:P,-(dados!$B:$B=$B7),-(dados!$C:$C&lt;=$C7)))</f>
        <v>294.39999999999998</v>
      </c>
      <c r="Q7" s="69">
        <f>ABS(SUMPRODUCT(dados!Q:Q,-(dados!$B:$B=$B7),-(dados!$C:$C&lt;=$C7)))</f>
        <v>310.5</v>
      </c>
      <c r="R7" s="69">
        <f>ABS(SUMPRODUCT(dados!R:R,-(dados!$B:$B=$B7),-(dados!$C:$C&lt;=$C7)))</f>
        <v>345.3</v>
      </c>
      <c r="S7" s="69">
        <f>ABS(SUMPRODUCT(dados!S:S,-(dados!$B:$B=$B7),-(dados!$C:$C&lt;=$C7)))</f>
        <v>306</v>
      </c>
      <c r="T7" s="69">
        <f>ABS(SUMPRODUCT(dados!T:T,-(dados!$B:$B=$B7),-(dados!$C:$C&lt;=$C7)))</f>
        <v>85.4</v>
      </c>
      <c r="U7" s="69">
        <f>ABS(SUMPRODUCT(dados!U:U,-(dados!$B:$B=$B7),-(dados!$C:$C&lt;=$C7)))</f>
        <v>412.1</v>
      </c>
    </row>
    <row r="8" spans="1:21" x14ac:dyDescent="0.25">
      <c r="A8" t="str">
        <f>dados!A8</f>
        <v>20175</v>
      </c>
      <c r="B8">
        <f>dados!B8</f>
        <v>2017</v>
      </c>
      <c r="C8">
        <f>dados!C8</f>
        <v>5</v>
      </c>
      <c r="D8" s="16">
        <f>dados!D8</f>
        <v>42856</v>
      </c>
      <c r="E8" s="69">
        <f>ABS(SUMPRODUCT(dados!E:E,-(dados!$B:$B=$B8),-(dados!$C:$C&lt;=$C8)))</f>
        <v>447.59999999999997</v>
      </c>
      <c r="F8" s="69">
        <f>ABS(SUMPRODUCT(dados!F:F,-(dados!$B:$B=$B8),-(dados!$C:$C&lt;=$C8)))</f>
        <v>437.40000000000003</v>
      </c>
      <c r="G8" s="69">
        <f>ABS(SUMPRODUCT(dados!G:G,-(dados!$B:$B=$B8),-(dados!$C:$C&lt;=$C8)))</f>
        <v>523.5</v>
      </c>
      <c r="H8" s="69">
        <f>ABS(SUMPRODUCT(dados!H:H,-(dados!$B:$B=$B8),-(dados!$C:$C&lt;=$C8)))</f>
        <v>403.5</v>
      </c>
      <c r="I8" s="69">
        <f>ABS(SUMPRODUCT(dados!I:I,-(dados!$B:$B=$B8),-(dados!$C:$C&lt;=$C8)))</f>
        <v>390.20000000000005</v>
      </c>
      <c r="J8" s="69">
        <f>ABS(SUMPRODUCT(dados!J:J,-(dados!$B:$B=$B8),-(dados!$C:$C&lt;=$C8)))</f>
        <v>443.79999999999995</v>
      </c>
      <c r="K8" s="69">
        <f>ABS(SUMPRODUCT(dados!K:K,-(dados!$B:$B=$B8),-(dados!$C:$C&lt;=$C8)))</f>
        <v>329.6</v>
      </c>
      <c r="L8" s="69">
        <f>ABS(SUMPRODUCT(dados!L:L,-(dados!$B:$B=$B8),-(dados!$C:$C&lt;=$C8)))</f>
        <v>418.5</v>
      </c>
      <c r="M8" s="69">
        <f>ABS(SUMPRODUCT(dados!M:M,-(dados!$B:$B=$B8),-(dados!$C:$C&lt;=$C8)))</f>
        <v>332.09999999999997</v>
      </c>
      <c r="N8" s="69">
        <f>ABS(SUMPRODUCT(dados!N:N,-(dados!$B:$B=$B8),-(dados!$C:$C&lt;=$C8)))</f>
        <v>388.59999999999997</v>
      </c>
      <c r="O8" s="69">
        <f>ABS(SUMPRODUCT(dados!O:O,-(dados!$B:$B=$B8),-(dados!$C:$C&lt;=$C8)))</f>
        <v>502.2</v>
      </c>
      <c r="P8" s="69">
        <f>ABS(SUMPRODUCT(dados!P:P,-(dados!$B:$B=$B8),-(dados!$C:$C&lt;=$C8)))</f>
        <v>373.79999999999995</v>
      </c>
      <c r="Q8" s="69">
        <f>ABS(SUMPRODUCT(dados!Q:Q,-(dados!$B:$B=$B8),-(dados!$C:$C&lt;=$C8)))</f>
        <v>386.2</v>
      </c>
      <c r="R8" s="69">
        <f>ABS(SUMPRODUCT(dados!R:R,-(dados!$B:$B=$B8),-(dados!$C:$C&lt;=$C8)))</f>
        <v>434.4</v>
      </c>
      <c r="S8" s="69">
        <f>ABS(SUMPRODUCT(dados!S:S,-(dados!$B:$B=$B8),-(dados!$C:$C&lt;=$C8)))</f>
        <v>403.2</v>
      </c>
      <c r="T8" s="69">
        <f>ABS(SUMPRODUCT(dados!T:T,-(dados!$B:$B=$B8),-(dados!$C:$C&lt;=$C8)))</f>
        <v>110.10000000000001</v>
      </c>
      <c r="U8" s="69">
        <f>ABS(SUMPRODUCT(dados!U:U,-(dados!$B:$B=$B8),-(dados!$C:$C&lt;=$C8)))</f>
        <v>524.9</v>
      </c>
    </row>
    <row r="9" spans="1:21" x14ac:dyDescent="0.25">
      <c r="A9" t="str">
        <f>dados!A9</f>
        <v>20176</v>
      </c>
      <c r="B9">
        <f>dados!B9</f>
        <v>2017</v>
      </c>
      <c r="C9">
        <f>dados!C9</f>
        <v>6</v>
      </c>
      <c r="D9" s="16">
        <f>dados!D9</f>
        <v>42887</v>
      </c>
      <c r="E9" s="69">
        <f>ABS(SUMPRODUCT(dados!E:E,-(dados!$B:$B=$B9),-(dados!$C:$C&lt;=$C9)))</f>
        <v>537.09999999999991</v>
      </c>
      <c r="F9" s="69">
        <f>ABS(SUMPRODUCT(dados!F:F,-(dados!$B:$B=$B9),-(dados!$C:$C&lt;=$C9)))</f>
        <v>526.5</v>
      </c>
      <c r="G9" s="69">
        <f>ABS(SUMPRODUCT(dados!G:G,-(dados!$B:$B=$B9),-(dados!$C:$C&lt;=$C9)))</f>
        <v>629.9</v>
      </c>
      <c r="H9" s="69">
        <f>ABS(SUMPRODUCT(dados!H:H,-(dados!$B:$B=$B9),-(dados!$C:$C&lt;=$C9)))</f>
        <v>485.8</v>
      </c>
      <c r="I9" s="69">
        <f>ABS(SUMPRODUCT(dados!I:I,-(dados!$B:$B=$B9),-(dados!$C:$C&lt;=$C9)))</f>
        <v>456.70000000000005</v>
      </c>
      <c r="J9" s="69">
        <f>ABS(SUMPRODUCT(dados!J:J,-(dados!$B:$B=$B9),-(dados!$C:$C&lt;=$C9)))</f>
        <v>525.59999999999991</v>
      </c>
      <c r="K9" s="69">
        <f>ABS(SUMPRODUCT(dados!K:K,-(dados!$B:$B=$B9),-(dados!$C:$C&lt;=$C9)))</f>
        <v>398.3</v>
      </c>
      <c r="L9" s="69">
        <f>ABS(SUMPRODUCT(dados!L:L,-(dados!$B:$B=$B9),-(dados!$C:$C&lt;=$C9)))</f>
        <v>509.7</v>
      </c>
      <c r="M9" s="69">
        <f>ABS(SUMPRODUCT(dados!M:M,-(dados!$B:$B=$B9),-(dados!$C:$C&lt;=$C9)))</f>
        <v>403.59999999999997</v>
      </c>
      <c r="N9" s="69">
        <f>ABS(SUMPRODUCT(dados!N:N,-(dados!$B:$B=$B9),-(dados!$C:$C&lt;=$C9)))</f>
        <v>461.69999999999993</v>
      </c>
      <c r="O9" s="69">
        <f>ABS(SUMPRODUCT(dados!O:O,-(dados!$B:$B=$B9),-(dados!$C:$C&lt;=$C9)))</f>
        <v>616.6</v>
      </c>
      <c r="P9" s="69">
        <f>ABS(SUMPRODUCT(dados!P:P,-(dados!$B:$B=$B9),-(dados!$C:$C&lt;=$C9)))</f>
        <v>449.59999999999997</v>
      </c>
      <c r="Q9" s="69">
        <f>ABS(SUMPRODUCT(dados!Q:Q,-(dados!$B:$B=$B9),-(dados!$C:$C&lt;=$C9)))</f>
        <v>459.7</v>
      </c>
      <c r="R9" s="69">
        <f>ABS(SUMPRODUCT(dados!R:R,-(dados!$B:$B=$B9),-(dados!$C:$C&lt;=$C9)))</f>
        <v>531.19999999999993</v>
      </c>
      <c r="S9" s="69">
        <f>ABS(SUMPRODUCT(dados!S:S,-(dados!$B:$B=$B9),-(dados!$C:$C&lt;=$C9)))</f>
        <v>473.1</v>
      </c>
      <c r="T9" s="69">
        <f>ABS(SUMPRODUCT(dados!T:T,-(dados!$B:$B=$B9),-(dados!$C:$C&lt;=$C9)))</f>
        <v>134.5</v>
      </c>
      <c r="U9" s="69">
        <f>ABS(SUMPRODUCT(dados!U:U,-(dados!$B:$B=$B9),-(dados!$C:$C&lt;=$C9)))</f>
        <v>633.19999999999993</v>
      </c>
    </row>
    <row r="10" spans="1:21" x14ac:dyDescent="0.25">
      <c r="A10" t="str">
        <f>dados!A10</f>
        <v>20177</v>
      </c>
      <c r="B10">
        <f>dados!B10</f>
        <v>2017</v>
      </c>
      <c r="C10">
        <f>dados!C10</f>
        <v>7</v>
      </c>
      <c r="D10" s="16">
        <f>dados!D10</f>
        <v>42917</v>
      </c>
      <c r="E10" s="69">
        <f>ABS(SUMPRODUCT(dados!E:E,-(dados!$B:$B=$B10),-(dados!$C:$C&lt;=$C10)))</f>
        <v>621.49999999999989</v>
      </c>
      <c r="F10" s="69">
        <f>ABS(SUMPRODUCT(dados!F:F,-(dados!$B:$B=$B10),-(dados!$C:$C&lt;=$C10)))</f>
        <v>612.70000000000005</v>
      </c>
      <c r="G10" s="69">
        <f>ABS(SUMPRODUCT(dados!G:G,-(dados!$B:$B=$B10),-(dados!$C:$C&lt;=$C10)))</f>
        <v>743.1</v>
      </c>
      <c r="H10" s="69">
        <f>ABS(SUMPRODUCT(dados!H:H,-(dados!$B:$B=$B10),-(dados!$C:$C&lt;=$C10)))</f>
        <v>561.4</v>
      </c>
      <c r="I10" s="69">
        <f>ABS(SUMPRODUCT(dados!I:I,-(dados!$B:$B=$B10),-(dados!$C:$C&lt;=$C10)))</f>
        <v>529.20000000000005</v>
      </c>
      <c r="J10" s="69">
        <f>ABS(SUMPRODUCT(dados!J:J,-(dados!$B:$B=$B10),-(dados!$C:$C&lt;=$C10)))</f>
        <v>598.49999999999989</v>
      </c>
      <c r="K10" s="69">
        <f>ABS(SUMPRODUCT(dados!K:K,-(dados!$B:$B=$B10),-(dados!$C:$C&lt;=$C10)))</f>
        <v>466.70000000000005</v>
      </c>
      <c r="L10" s="69">
        <f>ABS(SUMPRODUCT(dados!L:L,-(dados!$B:$B=$B10),-(dados!$C:$C&lt;=$C10)))</f>
        <v>578.4</v>
      </c>
      <c r="M10" s="69">
        <f>ABS(SUMPRODUCT(dados!M:M,-(dados!$B:$B=$B10),-(dados!$C:$C&lt;=$C10)))</f>
        <v>480.4</v>
      </c>
      <c r="N10" s="69">
        <f>ABS(SUMPRODUCT(dados!N:N,-(dados!$B:$B=$B10),-(dados!$C:$C&lt;=$C10)))</f>
        <v>521.4</v>
      </c>
      <c r="O10" s="69">
        <f>ABS(SUMPRODUCT(dados!O:O,-(dados!$B:$B=$B10),-(dados!$C:$C&lt;=$C10)))</f>
        <v>749.7</v>
      </c>
      <c r="P10" s="69">
        <f>ABS(SUMPRODUCT(dados!P:P,-(dados!$B:$B=$B10),-(dados!$C:$C&lt;=$C10)))</f>
        <v>533</v>
      </c>
      <c r="Q10" s="69">
        <f>ABS(SUMPRODUCT(dados!Q:Q,-(dados!$B:$B=$B10),-(dados!$C:$C&lt;=$C10)))</f>
        <v>526.4</v>
      </c>
      <c r="R10" s="69">
        <f>ABS(SUMPRODUCT(dados!R:R,-(dados!$B:$B=$B10),-(dados!$C:$C&lt;=$C10)))</f>
        <v>624.19999999999993</v>
      </c>
      <c r="S10" s="69">
        <f>ABS(SUMPRODUCT(dados!S:S,-(dados!$B:$B=$B10),-(dados!$C:$C&lt;=$C10)))</f>
        <v>569.80000000000007</v>
      </c>
      <c r="T10" s="69">
        <f>ABS(SUMPRODUCT(dados!T:T,-(dados!$B:$B=$B10),-(dados!$C:$C&lt;=$C10)))</f>
        <v>156.4</v>
      </c>
      <c r="U10" s="69">
        <f>ABS(SUMPRODUCT(dados!U:U,-(dados!$B:$B=$B10),-(dados!$C:$C&lt;=$C10)))</f>
        <v>743.69999999999993</v>
      </c>
    </row>
    <row r="11" spans="1:21" x14ac:dyDescent="0.25">
      <c r="A11" t="str">
        <f>dados!A11</f>
        <v>20178</v>
      </c>
      <c r="B11">
        <f>dados!B11</f>
        <v>2017</v>
      </c>
      <c r="C11">
        <f>dados!C11</f>
        <v>8</v>
      </c>
      <c r="D11" s="16">
        <f>dados!D11</f>
        <v>42948</v>
      </c>
      <c r="E11" s="69">
        <f>ABS(SUMPRODUCT(dados!E:E,-(dados!$B:$B=$B11),-(dados!$C:$C&lt;=$C11)))</f>
        <v>709.59999999999991</v>
      </c>
      <c r="F11" s="69">
        <f>ABS(SUMPRODUCT(dados!F:F,-(dados!$B:$B=$B11),-(dados!$C:$C&lt;=$C11)))</f>
        <v>703.90000000000009</v>
      </c>
      <c r="G11" s="69">
        <f>ABS(SUMPRODUCT(dados!G:G,-(dados!$B:$B=$B11),-(dados!$C:$C&lt;=$C11)))</f>
        <v>846.6</v>
      </c>
      <c r="H11" s="69">
        <f>ABS(SUMPRODUCT(dados!H:H,-(dados!$B:$B=$B11),-(dados!$C:$C&lt;=$C11)))</f>
        <v>647.69999999999993</v>
      </c>
      <c r="I11" s="69">
        <f>ABS(SUMPRODUCT(dados!I:I,-(dados!$B:$B=$B11),-(dados!$C:$C&lt;=$C11)))</f>
        <v>611.90000000000009</v>
      </c>
      <c r="J11" s="69">
        <f>ABS(SUMPRODUCT(dados!J:J,-(dados!$B:$B=$B11),-(dados!$C:$C&lt;=$C11)))</f>
        <v>684.89999999999986</v>
      </c>
      <c r="K11" s="69">
        <f>ABS(SUMPRODUCT(dados!K:K,-(dados!$B:$B=$B11),-(dados!$C:$C&lt;=$C11)))</f>
        <v>533.6</v>
      </c>
      <c r="L11" s="69">
        <f>ABS(SUMPRODUCT(dados!L:L,-(dados!$B:$B=$B11),-(dados!$C:$C&lt;=$C11)))</f>
        <v>653</v>
      </c>
      <c r="M11" s="69">
        <f>ABS(SUMPRODUCT(dados!M:M,-(dados!$B:$B=$B11),-(dados!$C:$C&lt;=$C11)))</f>
        <v>565.6</v>
      </c>
      <c r="N11" s="69">
        <f>ABS(SUMPRODUCT(dados!N:N,-(dados!$B:$B=$B11),-(dados!$C:$C&lt;=$C11)))</f>
        <v>632.1</v>
      </c>
      <c r="O11" s="69">
        <f>ABS(SUMPRODUCT(dados!O:O,-(dados!$B:$B=$B11),-(dados!$C:$C&lt;=$C11)))</f>
        <v>889.6</v>
      </c>
      <c r="P11" s="69">
        <f>ABS(SUMPRODUCT(dados!P:P,-(dados!$B:$B=$B11),-(dados!$C:$C&lt;=$C11)))</f>
        <v>620.4</v>
      </c>
      <c r="Q11" s="69">
        <f>ABS(SUMPRODUCT(dados!Q:Q,-(dados!$B:$B=$B11),-(dados!$C:$C&lt;=$C11)))</f>
        <v>605.29999999999995</v>
      </c>
      <c r="R11" s="69">
        <f>ABS(SUMPRODUCT(dados!R:R,-(dados!$B:$B=$B11),-(dados!$C:$C&lt;=$C11)))</f>
        <v>700.9</v>
      </c>
      <c r="S11" s="69">
        <f>ABS(SUMPRODUCT(dados!S:S,-(dados!$B:$B=$B11),-(dados!$C:$C&lt;=$C11)))</f>
        <v>700</v>
      </c>
      <c r="T11" s="69">
        <f>ABS(SUMPRODUCT(dados!T:T,-(dados!$B:$B=$B11),-(dados!$C:$C&lt;=$C11)))</f>
        <v>180.5</v>
      </c>
      <c r="U11" s="69">
        <f>ABS(SUMPRODUCT(dados!U:U,-(dados!$B:$B=$B11),-(dados!$C:$C&lt;=$C11)))</f>
        <v>849.69999999999993</v>
      </c>
    </row>
    <row r="12" spans="1:21" x14ac:dyDescent="0.25">
      <c r="A12" t="str">
        <f>dados!A12</f>
        <v>20179</v>
      </c>
      <c r="B12">
        <f>dados!B12</f>
        <v>2017</v>
      </c>
      <c r="C12">
        <f>dados!C12</f>
        <v>9</v>
      </c>
      <c r="D12" s="16">
        <f>dados!D12</f>
        <v>42979</v>
      </c>
      <c r="E12" s="69">
        <f>ABS(SUMPRODUCT(dados!E:E,-(dados!$B:$B=$B12),-(dados!$C:$C&lt;=$C12)))</f>
        <v>805.69999999999993</v>
      </c>
      <c r="F12" s="69">
        <f>ABS(SUMPRODUCT(dados!F:F,-(dados!$B:$B=$B12),-(dados!$C:$C&lt;=$C12)))</f>
        <v>798.10000000000014</v>
      </c>
      <c r="G12" s="69">
        <f>ABS(SUMPRODUCT(dados!G:G,-(dados!$B:$B=$B12),-(dados!$C:$C&lt;=$C12)))</f>
        <v>953.80000000000007</v>
      </c>
      <c r="H12" s="69">
        <f>ABS(SUMPRODUCT(dados!H:H,-(dados!$B:$B=$B12),-(dados!$C:$C&lt;=$C12)))</f>
        <v>736.8</v>
      </c>
      <c r="I12" s="69">
        <f>ABS(SUMPRODUCT(dados!I:I,-(dados!$B:$B=$B12),-(dados!$C:$C&lt;=$C12)))</f>
        <v>693.90000000000009</v>
      </c>
      <c r="J12" s="69">
        <f>ABS(SUMPRODUCT(dados!J:J,-(dados!$B:$B=$B12),-(dados!$C:$C&lt;=$C12)))</f>
        <v>782.19999999999982</v>
      </c>
      <c r="K12" s="69">
        <f>ABS(SUMPRODUCT(dados!K:K,-(dados!$B:$B=$B12),-(dados!$C:$C&lt;=$C12)))</f>
        <v>604.1</v>
      </c>
      <c r="L12" s="69">
        <f>ABS(SUMPRODUCT(dados!L:L,-(dados!$B:$B=$B12),-(dados!$C:$C&lt;=$C12)))</f>
        <v>741.4</v>
      </c>
      <c r="M12" s="69">
        <f>ABS(SUMPRODUCT(dados!M:M,-(dados!$B:$B=$B12),-(dados!$C:$C&lt;=$C12)))</f>
        <v>655.6</v>
      </c>
      <c r="N12" s="69">
        <f>ABS(SUMPRODUCT(dados!N:N,-(dados!$B:$B=$B12),-(dados!$C:$C&lt;=$C12)))</f>
        <v>741.5</v>
      </c>
      <c r="O12" s="69">
        <f>ABS(SUMPRODUCT(dados!O:O,-(dados!$B:$B=$B12),-(dados!$C:$C&lt;=$C12)))</f>
        <v>1006.7</v>
      </c>
      <c r="P12" s="69">
        <f>ABS(SUMPRODUCT(dados!P:P,-(dados!$B:$B=$B12),-(dados!$C:$C&lt;=$C12)))</f>
        <v>697.9</v>
      </c>
      <c r="Q12" s="69">
        <f>ABS(SUMPRODUCT(dados!Q:Q,-(dados!$B:$B=$B12),-(dados!$C:$C&lt;=$C12)))</f>
        <v>681.4</v>
      </c>
      <c r="R12" s="69">
        <f>ABS(SUMPRODUCT(dados!R:R,-(dados!$B:$B=$B12),-(dados!$C:$C&lt;=$C12)))</f>
        <v>779.19999999999993</v>
      </c>
      <c r="S12" s="69">
        <f>ABS(SUMPRODUCT(dados!S:S,-(dados!$B:$B=$B12),-(dados!$C:$C&lt;=$C12)))</f>
        <v>814.3</v>
      </c>
      <c r="T12" s="69">
        <f>ABS(SUMPRODUCT(dados!T:T,-(dados!$B:$B=$B12),-(dados!$C:$C&lt;=$C12)))</f>
        <v>198.4</v>
      </c>
      <c r="U12" s="69">
        <f>ABS(SUMPRODUCT(dados!U:U,-(dados!$B:$B=$B12),-(dados!$C:$C&lt;=$C12)))</f>
        <v>952.3</v>
      </c>
    </row>
    <row r="13" spans="1:21" x14ac:dyDescent="0.25">
      <c r="A13" t="str">
        <f>dados!A13</f>
        <v>201710</v>
      </c>
      <c r="B13">
        <f>dados!B13</f>
        <v>2017</v>
      </c>
      <c r="C13">
        <f>dados!C13</f>
        <v>10</v>
      </c>
      <c r="D13" s="16">
        <f>dados!D13</f>
        <v>43009</v>
      </c>
      <c r="E13" s="69">
        <f>ABS(SUMPRODUCT(dados!E:E,-(dados!$B:$B=$B13),-(dados!$C:$C&lt;=$C13)))</f>
        <v>901.8</v>
      </c>
      <c r="F13" s="69">
        <f>ABS(SUMPRODUCT(dados!F:F,-(dados!$B:$B=$B13),-(dados!$C:$C&lt;=$C13)))</f>
        <v>899.30000000000018</v>
      </c>
      <c r="G13" s="69">
        <f>ABS(SUMPRODUCT(dados!G:G,-(dados!$B:$B=$B13),-(dados!$C:$C&lt;=$C13)))</f>
        <v>1066.2</v>
      </c>
      <c r="H13" s="69">
        <f>ABS(SUMPRODUCT(dados!H:H,-(dados!$B:$B=$B13),-(dados!$C:$C&lt;=$C13)))</f>
        <v>833.59999999999991</v>
      </c>
      <c r="I13" s="69">
        <f>ABS(SUMPRODUCT(dados!I:I,-(dados!$B:$B=$B13),-(dados!$C:$C&lt;=$C13)))</f>
        <v>781.2</v>
      </c>
      <c r="J13" s="69">
        <f>ABS(SUMPRODUCT(dados!J:J,-(dados!$B:$B=$B13),-(dados!$C:$C&lt;=$C13)))</f>
        <v>905.19999999999982</v>
      </c>
      <c r="K13" s="69">
        <f>ABS(SUMPRODUCT(dados!K:K,-(dados!$B:$B=$B13),-(dados!$C:$C&lt;=$C13)))</f>
        <v>682.5</v>
      </c>
      <c r="L13" s="69">
        <f>ABS(SUMPRODUCT(dados!L:L,-(dados!$B:$B=$B13),-(dados!$C:$C&lt;=$C13)))</f>
        <v>842.5</v>
      </c>
      <c r="M13" s="69">
        <f>ABS(SUMPRODUCT(dados!M:M,-(dados!$B:$B=$B13),-(dados!$C:$C&lt;=$C13)))</f>
        <v>742.2</v>
      </c>
      <c r="N13" s="69">
        <f>ABS(SUMPRODUCT(dados!N:N,-(dados!$B:$B=$B13),-(dados!$C:$C&lt;=$C13)))</f>
        <v>819.6</v>
      </c>
      <c r="O13" s="69">
        <f>ABS(SUMPRODUCT(dados!O:O,-(dados!$B:$B=$B13),-(dados!$C:$C&lt;=$C13)))</f>
        <v>1127.5</v>
      </c>
      <c r="P13" s="69">
        <f>ABS(SUMPRODUCT(dados!P:P,-(dados!$B:$B=$B13),-(dados!$C:$C&lt;=$C13)))</f>
        <v>772.3</v>
      </c>
      <c r="Q13" s="69">
        <f>ABS(SUMPRODUCT(dados!Q:Q,-(dados!$B:$B=$B13),-(dados!$C:$C&lt;=$C13)))</f>
        <v>765.3</v>
      </c>
      <c r="R13" s="69">
        <f>ABS(SUMPRODUCT(dados!R:R,-(dados!$B:$B=$B13),-(dados!$C:$C&lt;=$C13)))</f>
        <v>865.8</v>
      </c>
      <c r="S13" s="69">
        <f>ABS(SUMPRODUCT(dados!S:S,-(dados!$B:$B=$B13),-(dados!$C:$C&lt;=$C13)))</f>
        <v>940</v>
      </c>
      <c r="T13" s="69">
        <f>ABS(SUMPRODUCT(dados!T:T,-(dados!$B:$B=$B13),-(dados!$C:$C&lt;=$C13)))</f>
        <v>215.8</v>
      </c>
      <c r="U13" s="69">
        <f>ABS(SUMPRODUCT(dados!U:U,-(dados!$B:$B=$B13),-(dados!$C:$C&lt;=$C13)))</f>
        <v>1068.8</v>
      </c>
    </row>
    <row r="14" spans="1:21" x14ac:dyDescent="0.25">
      <c r="A14" t="str">
        <f>dados!A14</f>
        <v>201711</v>
      </c>
      <c r="B14">
        <f>dados!B14</f>
        <v>2017</v>
      </c>
      <c r="C14">
        <f>dados!C14</f>
        <v>11</v>
      </c>
      <c r="D14" s="16">
        <f>dados!D14</f>
        <v>43040</v>
      </c>
      <c r="E14" s="69">
        <f>ABS(SUMPRODUCT(dados!E:E,-(dados!$B:$B=$B14),-(dados!$C:$C&lt;=$C14)))</f>
        <v>996.59999999999991</v>
      </c>
      <c r="F14" s="69">
        <f>ABS(SUMPRODUCT(dados!F:F,-(dados!$B:$B=$B14),-(dados!$C:$C&lt;=$C14)))</f>
        <v>995.4000000000002</v>
      </c>
      <c r="G14" s="69">
        <f>ABS(SUMPRODUCT(dados!G:G,-(dados!$B:$B=$B14),-(dados!$C:$C&lt;=$C14)))</f>
        <v>1173.8</v>
      </c>
      <c r="H14" s="69">
        <f>ABS(SUMPRODUCT(dados!H:H,-(dados!$B:$B=$B14),-(dados!$C:$C&lt;=$C14)))</f>
        <v>925.19999999999993</v>
      </c>
      <c r="I14" s="69">
        <f>ABS(SUMPRODUCT(dados!I:I,-(dados!$B:$B=$B14),-(dados!$C:$C&lt;=$C14)))</f>
        <v>867.80000000000007</v>
      </c>
      <c r="J14" s="69">
        <f>ABS(SUMPRODUCT(dados!J:J,-(dados!$B:$B=$B14),-(dados!$C:$C&lt;=$C14)))</f>
        <v>1028.7999999999997</v>
      </c>
      <c r="K14" s="69">
        <f>ABS(SUMPRODUCT(dados!K:K,-(dados!$B:$B=$B14),-(dados!$C:$C&lt;=$C14)))</f>
        <v>742.7</v>
      </c>
      <c r="L14" s="69">
        <f>ABS(SUMPRODUCT(dados!L:L,-(dados!$B:$B=$B14),-(dados!$C:$C&lt;=$C14)))</f>
        <v>928.3</v>
      </c>
      <c r="M14" s="69">
        <f>ABS(SUMPRODUCT(dados!M:M,-(dados!$B:$B=$B14),-(dados!$C:$C&lt;=$C14)))</f>
        <v>836</v>
      </c>
      <c r="N14" s="69">
        <f>ABS(SUMPRODUCT(dados!N:N,-(dados!$B:$B=$B14),-(dados!$C:$C&lt;=$C14)))</f>
        <v>921</v>
      </c>
      <c r="O14" s="69">
        <f>ABS(SUMPRODUCT(dados!O:O,-(dados!$B:$B=$B14),-(dados!$C:$C&lt;=$C14)))</f>
        <v>1242</v>
      </c>
      <c r="P14" s="69">
        <f>ABS(SUMPRODUCT(dados!P:P,-(dados!$B:$B=$B14),-(dados!$C:$C&lt;=$C14)))</f>
        <v>851.69999999999993</v>
      </c>
      <c r="Q14" s="69">
        <f>ABS(SUMPRODUCT(dados!Q:Q,-(dados!$B:$B=$B14),-(dados!$C:$C&lt;=$C14)))</f>
        <v>849.19999999999993</v>
      </c>
      <c r="R14" s="69">
        <f>ABS(SUMPRODUCT(dados!R:R,-(dados!$B:$B=$B14),-(dados!$C:$C&lt;=$C14)))</f>
        <v>957.9</v>
      </c>
      <c r="S14" s="69">
        <f>ABS(SUMPRODUCT(dados!S:S,-(dados!$B:$B=$B14),-(dados!$C:$C&lt;=$C14)))</f>
        <v>1059.8</v>
      </c>
      <c r="T14" s="69">
        <f>ABS(SUMPRODUCT(dados!T:T,-(dados!$B:$B=$B14),-(dados!$C:$C&lt;=$C14)))</f>
        <v>233.60000000000002</v>
      </c>
      <c r="U14" s="69">
        <f>ABS(SUMPRODUCT(dados!U:U,-(dados!$B:$B=$B14),-(dados!$C:$C&lt;=$C14)))</f>
        <v>1176.8999999999999</v>
      </c>
    </row>
    <row r="15" spans="1:21" x14ac:dyDescent="0.25">
      <c r="A15" t="str">
        <f>dados!A15</f>
        <v>201712</v>
      </c>
      <c r="B15">
        <f>dados!B15</f>
        <v>2017</v>
      </c>
      <c r="C15">
        <f>dados!C15</f>
        <v>12</v>
      </c>
      <c r="D15" s="16">
        <f>dados!D15</f>
        <v>43070</v>
      </c>
      <c r="E15" s="69">
        <f>ABS(SUMPRODUCT(dados!E:E,-(dados!$B:$B=$B15),-(dados!$C:$C&lt;=$C15)))</f>
        <v>1090.6999999999998</v>
      </c>
      <c r="F15" s="69">
        <f>ABS(SUMPRODUCT(dados!F:F,-(dados!$B:$B=$B15),-(dados!$C:$C&lt;=$C15)))</f>
        <v>1089.4000000000001</v>
      </c>
      <c r="G15" s="69">
        <f>ABS(SUMPRODUCT(dados!G:G,-(dados!$B:$B=$B15),-(dados!$C:$C&lt;=$C15)))</f>
        <v>1280.8999999999999</v>
      </c>
      <c r="H15" s="69">
        <f>ABS(SUMPRODUCT(dados!H:H,-(dados!$B:$B=$B15),-(dados!$C:$C&lt;=$C15)))</f>
        <v>1014.0999999999999</v>
      </c>
      <c r="I15" s="69">
        <f>ABS(SUMPRODUCT(dados!I:I,-(dados!$B:$B=$B15),-(dados!$C:$C&lt;=$C15)))</f>
        <v>961.00000000000011</v>
      </c>
      <c r="J15" s="69">
        <f>ABS(SUMPRODUCT(dados!J:J,-(dados!$B:$B=$B15),-(dados!$C:$C&lt;=$C15)))</f>
        <v>1155.4999999999998</v>
      </c>
      <c r="K15" s="69">
        <f>ABS(SUMPRODUCT(dados!K:K,-(dados!$B:$B=$B15),-(dados!$C:$C&lt;=$C15)))</f>
        <v>799.6</v>
      </c>
      <c r="L15" s="69">
        <f>ABS(SUMPRODUCT(dados!L:L,-(dados!$B:$B=$B15),-(dados!$C:$C&lt;=$C15)))</f>
        <v>1024.0999999999999</v>
      </c>
      <c r="M15" s="69">
        <f>ABS(SUMPRODUCT(dados!M:M,-(dados!$B:$B=$B15),-(dados!$C:$C&lt;=$C15)))</f>
        <v>916.2</v>
      </c>
      <c r="N15" s="69">
        <f>ABS(SUMPRODUCT(dados!N:N,-(dados!$B:$B=$B15),-(dados!$C:$C&lt;=$C15)))</f>
        <v>1000.3</v>
      </c>
      <c r="O15" s="69">
        <f>ABS(SUMPRODUCT(dados!O:O,-(dados!$B:$B=$B15),-(dados!$C:$C&lt;=$C15)))</f>
        <v>1341.6</v>
      </c>
      <c r="P15" s="69">
        <f>ABS(SUMPRODUCT(dados!P:P,-(dados!$B:$B=$B15),-(dados!$C:$C&lt;=$C15)))</f>
        <v>920.59999999999991</v>
      </c>
      <c r="Q15" s="69">
        <f>ABS(SUMPRODUCT(dados!Q:Q,-(dados!$B:$B=$B15),-(dados!$C:$C&lt;=$C15)))</f>
        <v>924.19999999999993</v>
      </c>
      <c r="R15" s="69">
        <f>ABS(SUMPRODUCT(dados!R:R,-(dados!$B:$B=$B15),-(dados!$C:$C&lt;=$C15)))</f>
        <v>1035.0999999999999</v>
      </c>
      <c r="S15" s="69">
        <f>ABS(SUMPRODUCT(dados!S:S,-(dados!$B:$B=$B15),-(dados!$C:$C&lt;=$C15)))</f>
        <v>1153</v>
      </c>
      <c r="T15" s="69">
        <f>ABS(SUMPRODUCT(dados!T:T,-(dados!$B:$B=$B15),-(dados!$C:$C&lt;=$C15)))</f>
        <v>247.40000000000003</v>
      </c>
      <c r="U15" s="69">
        <f>ABS(SUMPRODUCT(dados!U:U,-(dados!$B:$B=$B15),-(dados!$C:$C&lt;=$C15)))</f>
        <v>1287.3999999999999</v>
      </c>
    </row>
    <row r="16" spans="1:21" x14ac:dyDescent="0.25">
      <c r="A16" t="str">
        <f>dados!A16</f>
        <v>20181</v>
      </c>
      <c r="B16">
        <f>dados!B16</f>
        <v>2018</v>
      </c>
      <c r="C16">
        <f>dados!C16</f>
        <v>1</v>
      </c>
      <c r="D16" s="16">
        <f>dados!D16</f>
        <v>43101</v>
      </c>
      <c r="E16" s="69">
        <f>ABS(SUMPRODUCT(dados!E:E,-(dados!$B:$B=$B16),-(dados!$C:$C&lt;=$C16)))</f>
        <v>92.9</v>
      </c>
      <c r="F16" s="69">
        <f>ABS(SUMPRODUCT(dados!F:F,-(dados!$B:$B=$B16),-(dados!$C:$C&lt;=$C16)))</f>
        <v>94.2</v>
      </c>
      <c r="G16" s="69">
        <f>ABS(SUMPRODUCT(dados!G:G,-(dados!$B:$B=$B16),-(dados!$C:$C&lt;=$C16)))</f>
        <v>110.3</v>
      </c>
      <c r="H16" s="69">
        <f>ABS(SUMPRODUCT(dados!H:H,-(dados!$B:$B=$B16),-(dados!$C:$C&lt;=$C16)))</f>
        <v>87.9</v>
      </c>
      <c r="I16" s="69">
        <f>ABS(SUMPRODUCT(dados!I:I,-(dados!$B:$B=$B16),-(dados!$C:$C&lt;=$C16)))</f>
        <v>98.1</v>
      </c>
      <c r="J16" s="69">
        <f>ABS(SUMPRODUCT(dados!J:J,-(dados!$B:$B=$B16),-(dados!$C:$C&lt;=$C16)))</f>
        <v>103.4</v>
      </c>
      <c r="K16" s="69">
        <f>ABS(SUMPRODUCT(dados!K:K,-(dados!$B:$B=$B16),-(dados!$C:$C&lt;=$C16)))</f>
        <v>57.4</v>
      </c>
      <c r="L16" s="69">
        <f>ABS(SUMPRODUCT(dados!L:L,-(dados!$B:$B=$B16),-(dados!$C:$C&lt;=$C16)))</f>
        <v>91.2</v>
      </c>
      <c r="M16" s="69">
        <f>ABS(SUMPRODUCT(dados!M:M,-(dados!$B:$B=$B16),-(dados!$C:$C&lt;=$C16)))</f>
        <v>70.8</v>
      </c>
      <c r="N16" s="69">
        <f>ABS(SUMPRODUCT(dados!N:N,-(dados!$B:$B=$B16),-(dados!$C:$C&lt;=$C16)))</f>
        <v>75.2</v>
      </c>
      <c r="O16" s="69">
        <f>ABS(SUMPRODUCT(dados!O:O,-(dados!$B:$B=$B16),-(dados!$C:$C&lt;=$C16)))</f>
        <v>108.7</v>
      </c>
      <c r="P16" s="69">
        <f>ABS(SUMPRODUCT(dados!P:P,-(dados!$B:$B=$B16),-(dados!$C:$C&lt;=$C16)))</f>
        <v>81.5</v>
      </c>
      <c r="Q16" s="69">
        <f>ABS(SUMPRODUCT(dados!Q:Q,-(dados!$B:$B=$B16),-(dados!$C:$C&lt;=$C16)))</f>
        <v>83.8</v>
      </c>
      <c r="R16" s="69">
        <f>ABS(SUMPRODUCT(dados!R:R,-(dados!$B:$B=$B16),-(dados!$C:$C&lt;=$C16)))</f>
        <v>73.8</v>
      </c>
      <c r="S16" s="69">
        <f>ABS(SUMPRODUCT(dados!S:S,-(dados!$B:$B=$B16),-(dados!$C:$C&lt;=$C16)))</f>
        <v>102.2</v>
      </c>
      <c r="T16" s="69">
        <f>ABS(SUMPRODUCT(dados!T:T,-(dados!$B:$B=$B16),-(dados!$C:$C&lt;=$C16)))</f>
        <v>14</v>
      </c>
      <c r="U16" s="69">
        <f>ABS(SUMPRODUCT(dados!U:U,-(dados!$B:$B=$B16),-(dados!$C:$C&lt;=$C16)))</f>
        <v>108.3</v>
      </c>
    </row>
    <row r="17" spans="1:21" x14ac:dyDescent="0.25">
      <c r="A17" t="str">
        <f>dados!A17</f>
        <v>20182</v>
      </c>
      <c r="B17">
        <f>dados!B17</f>
        <v>2018</v>
      </c>
      <c r="C17">
        <f>dados!C17</f>
        <v>2</v>
      </c>
      <c r="D17" s="16">
        <f>dados!D17</f>
        <v>43132</v>
      </c>
      <c r="E17" s="69">
        <f>ABS(SUMPRODUCT(dados!E:E,-(dados!$B:$B=$B17),-(dados!$C:$C&lt;=$C17)))</f>
        <v>186.8</v>
      </c>
      <c r="F17" s="69">
        <f>ABS(SUMPRODUCT(dados!F:F,-(dados!$B:$B=$B17),-(dados!$C:$C&lt;=$C17)))</f>
        <v>179.60000000000002</v>
      </c>
      <c r="G17" s="69">
        <f>ABS(SUMPRODUCT(dados!G:G,-(dados!$B:$B=$B17),-(dados!$C:$C&lt;=$C17)))</f>
        <v>209.8</v>
      </c>
      <c r="H17" s="69">
        <f>ABS(SUMPRODUCT(dados!H:H,-(dados!$B:$B=$B17),-(dados!$C:$C&lt;=$C17)))</f>
        <v>167.8</v>
      </c>
      <c r="I17" s="69">
        <f>ABS(SUMPRODUCT(dados!I:I,-(dados!$B:$B=$B17),-(dados!$C:$C&lt;=$C17)))</f>
        <v>171.2</v>
      </c>
      <c r="J17" s="69">
        <f>ABS(SUMPRODUCT(dados!J:J,-(dados!$B:$B=$B17),-(dados!$C:$C&lt;=$C17)))</f>
        <v>210.7</v>
      </c>
      <c r="K17" s="69">
        <f>ABS(SUMPRODUCT(dados!K:K,-(dados!$B:$B=$B17),-(dados!$C:$C&lt;=$C17)))</f>
        <v>113.3</v>
      </c>
      <c r="L17" s="69">
        <f>ABS(SUMPRODUCT(dados!L:L,-(dados!$B:$B=$B17),-(dados!$C:$C&lt;=$C17)))</f>
        <v>172.7</v>
      </c>
      <c r="M17" s="69">
        <f>ABS(SUMPRODUCT(dados!M:M,-(dados!$B:$B=$B17),-(dados!$C:$C&lt;=$C17)))</f>
        <v>137.1</v>
      </c>
      <c r="N17" s="69">
        <f>ABS(SUMPRODUCT(dados!N:N,-(dados!$B:$B=$B17),-(dados!$C:$C&lt;=$C17)))</f>
        <v>143.60000000000002</v>
      </c>
      <c r="O17" s="69">
        <f>ABS(SUMPRODUCT(dados!O:O,-(dados!$B:$B=$B17),-(dados!$C:$C&lt;=$C17)))</f>
        <v>192.10000000000002</v>
      </c>
      <c r="P17" s="69">
        <f>ABS(SUMPRODUCT(dados!P:P,-(dados!$B:$B=$B17),-(dados!$C:$C&lt;=$C17)))</f>
        <v>154.6</v>
      </c>
      <c r="Q17" s="69">
        <f>ABS(SUMPRODUCT(dados!Q:Q,-(dados!$B:$B=$B17),-(dados!$C:$C&lt;=$C17)))</f>
        <v>159.19999999999999</v>
      </c>
      <c r="R17" s="69">
        <f>ABS(SUMPRODUCT(dados!R:R,-(dados!$B:$B=$B17),-(dados!$C:$C&lt;=$C17)))</f>
        <v>141.39999999999998</v>
      </c>
      <c r="S17" s="69">
        <f>ABS(SUMPRODUCT(dados!S:S,-(dados!$B:$B=$B17),-(dados!$C:$C&lt;=$C17)))</f>
        <v>211.8</v>
      </c>
      <c r="T17" s="69">
        <f>ABS(SUMPRODUCT(dados!T:T,-(dados!$B:$B=$B17),-(dados!$C:$C&lt;=$C17)))</f>
        <v>23.7</v>
      </c>
      <c r="U17" s="69">
        <f>ABS(SUMPRODUCT(dados!U:U,-(dados!$B:$B=$B17),-(dados!$C:$C&lt;=$C17)))</f>
        <v>201.6</v>
      </c>
    </row>
    <row r="18" spans="1:21" x14ac:dyDescent="0.25">
      <c r="A18" t="str">
        <f>dados!A18</f>
        <v>20183</v>
      </c>
      <c r="B18">
        <f>dados!B18</f>
        <v>2018</v>
      </c>
      <c r="C18">
        <f>dados!C18</f>
        <v>3</v>
      </c>
      <c r="D18" s="16">
        <f>dados!D18</f>
        <v>43160</v>
      </c>
      <c r="E18" s="69">
        <f>ABS(SUMPRODUCT(dados!E:E,-(dados!$B:$B=$B18),-(dados!$C:$C&lt;=$C18)))</f>
        <v>276.8</v>
      </c>
      <c r="F18" s="69">
        <f>ABS(SUMPRODUCT(dados!F:F,-(dados!$B:$B=$B18),-(dados!$C:$C&lt;=$C18)))</f>
        <v>269.70000000000005</v>
      </c>
      <c r="G18" s="69">
        <f>ABS(SUMPRODUCT(dados!G:G,-(dados!$B:$B=$B18),-(dados!$C:$C&lt;=$C18)))</f>
        <v>316.5</v>
      </c>
      <c r="H18" s="69">
        <f>ABS(SUMPRODUCT(dados!H:H,-(dados!$B:$B=$B18),-(dados!$C:$C&lt;=$C18)))</f>
        <v>251.3</v>
      </c>
      <c r="I18" s="69">
        <f>ABS(SUMPRODUCT(dados!I:I,-(dados!$B:$B=$B18),-(dados!$C:$C&lt;=$C18)))</f>
        <v>273.39999999999998</v>
      </c>
      <c r="J18" s="69">
        <f>ABS(SUMPRODUCT(dados!J:J,-(dados!$B:$B=$B18),-(dados!$C:$C&lt;=$C18)))</f>
        <v>291.29999999999995</v>
      </c>
      <c r="K18" s="69">
        <f>ABS(SUMPRODUCT(dados!K:K,-(dados!$B:$B=$B18),-(dados!$C:$C&lt;=$C18)))</f>
        <v>169.4</v>
      </c>
      <c r="L18" s="69">
        <f>ABS(SUMPRODUCT(dados!L:L,-(dados!$B:$B=$B18),-(dados!$C:$C&lt;=$C18)))</f>
        <v>245.7</v>
      </c>
      <c r="M18" s="69">
        <f>ABS(SUMPRODUCT(dados!M:M,-(dados!$B:$B=$B18),-(dados!$C:$C&lt;=$C18)))</f>
        <v>210.3</v>
      </c>
      <c r="N18" s="69">
        <f>ABS(SUMPRODUCT(dados!N:N,-(dados!$B:$B=$B18),-(dados!$C:$C&lt;=$C18)))</f>
        <v>223.70000000000002</v>
      </c>
      <c r="O18" s="69">
        <f>ABS(SUMPRODUCT(dados!O:O,-(dados!$B:$B=$B18),-(dados!$C:$C&lt;=$C18)))</f>
        <v>303.5</v>
      </c>
      <c r="P18" s="69">
        <f>ABS(SUMPRODUCT(dados!P:P,-(dados!$B:$B=$B18),-(dados!$C:$C&lt;=$C18)))</f>
        <v>242.6</v>
      </c>
      <c r="Q18" s="69">
        <f>ABS(SUMPRODUCT(dados!Q:Q,-(dados!$B:$B=$B18),-(dados!$C:$C&lt;=$C18)))</f>
        <v>246.39999999999998</v>
      </c>
      <c r="R18" s="69">
        <f>ABS(SUMPRODUCT(dados!R:R,-(dados!$B:$B=$B18),-(dados!$C:$C&lt;=$C18)))</f>
        <v>223.79999999999998</v>
      </c>
      <c r="S18" s="69">
        <f>ABS(SUMPRODUCT(dados!S:S,-(dados!$B:$B=$B18),-(dados!$C:$C&lt;=$C18)))</f>
        <v>339.4</v>
      </c>
      <c r="T18" s="69">
        <f>ABS(SUMPRODUCT(dados!T:T,-(dados!$B:$B=$B18),-(dados!$C:$C&lt;=$C18)))</f>
        <v>36.200000000000003</v>
      </c>
      <c r="U18" s="69">
        <f>ABS(SUMPRODUCT(dados!U:U,-(dados!$B:$B=$B18),-(dados!$C:$C&lt;=$C18)))</f>
        <v>305.5</v>
      </c>
    </row>
    <row r="19" spans="1:21" x14ac:dyDescent="0.25">
      <c r="A19" t="str">
        <f>dados!A19</f>
        <v>20184</v>
      </c>
      <c r="B19">
        <f>dados!B19</f>
        <v>2018</v>
      </c>
      <c r="C19">
        <f>dados!C19</f>
        <v>4</v>
      </c>
      <c r="D19" s="16">
        <f>dados!D19</f>
        <v>43191</v>
      </c>
      <c r="E19" s="69">
        <f>ABS(SUMPRODUCT(dados!E:E,-(dados!$B:$B=$B19),-(dados!$C:$C&lt;=$C19)))</f>
        <v>374.6</v>
      </c>
      <c r="F19" s="69">
        <f>ABS(SUMPRODUCT(dados!F:F,-(dados!$B:$B=$B19),-(dados!$C:$C&lt;=$C19)))</f>
        <v>364.30000000000007</v>
      </c>
      <c r="G19" s="69">
        <f>ABS(SUMPRODUCT(dados!G:G,-(dados!$B:$B=$B19),-(dados!$C:$C&lt;=$C19)))</f>
        <v>424.1</v>
      </c>
      <c r="H19" s="69">
        <f>ABS(SUMPRODUCT(dados!H:H,-(dados!$B:$B=$B19),-(dados!$C:$C&lt;=$C19)))</f>
        <v>340.70000000000005</v>
      </c>
      <c r="I19" s="69">
        <f>ABS(SUMPRODUCT(dados!I:I,-(dados!$B:$B=$B19),-(dados!$C:$C&lt;=$C19)))</f>
        <v>361.09999999999997</v>
      </c>
      <c r="J19" s="69">
        <f>ABS(SUMPRODUCT(dados!J:J,-(dados!$B:$B=$B19),-(dados!$C:$C&lt;=$C19)))</f>
        <v>364.79999999999995</v>
      </c>
      <c r="K19" s="69">
        <f>ABS(SUMPRODUCT(dados!K:K,-(dados!$B:$B=$B19),-(dados!$C:$C&lt;=$C19)))</f>
        <v>225.7</v>
      </c>
      <c r="L19" s="69">
        <f>ABS(SUMPRODUCT(dados!L:L,-(dados!$B:$B=$B19),-(dados!$C:$C&lt;=$C19)))</f>
        <v>342.6</v>
      </c>
      <c r="M19" s="69">
        <f>ABS(SUMPRODUCT(dados!M:M,-(dados!$B:$B=$B19),-(dados!$C:$C&lt;=$C19)))</f>
        <v>279.3</v>
      </c>
      <c r="N19" s="69">
        <f>ABS(SUMPRODUCT(dados!N:N,-(dados!$B:$B=$B19),-(dados!$C:$C&lt;=$C19)))</f>
        <v>316.3</v>
      </c>
      <c r="O19" s="69">
        <f>ABS(SUMPRODUCT(dados!O:O,-(dados!$B:$B=$B19),-(dados!$C:$C&lt;=$C19)))</f>
        <v>416</v>
      </c>
      <c r="P19" s="69">
        <f>ABS(SUMPRODUCT(dados!P:P,-(dados!$B:$B=$B19),-(dados!$C:$C&lt;=$C19)))</f>
        <v>326.7</v>
      </c>
      <c r="Q19" s="69">
        <f>ABS(SUMPRODUCT(dados!Q:Q,-(dados!$B:$B=$B19),-(dados!$C:$C&lt;=$C19)))</f>
        <v>330</v>
      </c>
      <c r="R19" s="69">
        <f>ABS(SUMPRODUCT(dados!R:R,-(dados!$B:$B=$B19),-(dados!$C:$C&lt;=$C19)))</f>
        <v>289.5</v>
      </c>
      <c r="S19" s="69">
        <f>ABS(SUMPRODUCT(dados!S:S,-(dados!$B:$B=$B19),-(dados!$C:$C&lt;=$C19)))</f>
        <v>454.7</v>
      </c>
      <c r="T19" s="69">
        <f>ABS(SUMPRODUCT(dados!T:T,-(dados!$B:$B=$B19),-(dados!$C:$C&lt;=$C19)))</f>
        <v>48.2</v>
      </c>
      <c r="U19" s="69">
        <f>ABS(SUMPRODUCT(dados!U:U,-(dados!$B:$B=$B19),-(dados!$C:$C&lt;=$C19)))</f>
        <v>410.4</v>
      </c>
    </row>
    <row r="20" spans="1:21" x14ac:dyDescent="0.25">
      <c r="A20" t="str">
        <f>dados!A20</f>
        <v>20185</v>
      </c>
      <c r="B20">
        <f>dados!B20</f>
        <v>2018</v>
      </c>
      <c r="C20">
        <f>dados!C20</f>
        <v>5</v>
      </c>
      <c r="D20" s="16">
        <f>dados!D20</f>
        <v>43221</v>
      </c>
      <c r="E20" s="69">
        <f>ABS(SUMPRODUCT(dados!E:E,-(dados!$B:$B=$B20),-(dados!$C:$C&lt;=$C20)))</f>
        <v>465.3</v>
      </c>
      <c r="F20" s="69">
        <f>ABS(SUMPRODUCT(dados!F:F,-(dados!$B:$B=$B20),-(dados!$C:$C&lt;=$C20)))</f>
        <v>455.30000000000007</v>
      </c>
      <c r="G20" s="69">
        <f>ABS(SUMPRODUCT(dados!G:G,-(dados!$B:$B=$B20),-(dados!$C:$C&lt;=$C20)))</f>
        <v>533.4</v>
      </c>
      <c r="H20" s="69">
        <f>ABS(SUMPRODUCT(dados!H:H,-(dados!$B:$B=$B20),-(dados!$C:$C&lt;=$C20)))</f>
        <v>424.40000000000003</v>
      </c>
      <c r="I20" s="69">
        <f>ABS(SUMPRODUCT(dados!I:I,-(dados!$B:$B=$B20),-(dados!$C:$C&lt;=$C20)))</f>
        <v>436.79999999999995</v>
      </c>
      <c r="J20" s="69">
        <f>ABS(SUMPRODUCT(dados!J:J,-(dados!$B:$B=$B20),-(dados!$C:$C&lt;=$C20)))</f>
        <v>449.29999999999995</v>
      </c>
      <c r="K20" s="69">
        <f>ABS(SUMPRODUCT(dados!K:K,-(dados!$B:$B=$B20),-(dados!$C:$C&lt;=$C20)))</f>
        <v>282.09999999999997</v>
      </c>
      <c r="L20" s="69">
        <f>ABS(SUMPRODUCT(dados!L:L,-(dados!$B:$B=$B20),-(dados!$C:$C&lt;=$C20)))</f>
        <v>434.1</v>
      </c>
      <c r="M20" s="69">
        <f>ABS(SUMPRODUCT(dados!M:M,-(dados!$B:$B=$B20),-(dados!$C:$C&lt;=$C20)))</f>
        <v>349</v>
      </c>
      <c r="N20" s="69">
        <f>ABS(SUMPRODUCT(dados!N:N,-(dados!$B:$B=$B20),-(dados!$C:$C&lt;=$C20)))</f>
        <v>402.9</v>
      </c>
      <c r="O20" s="69">
        <f>ABS(SUMPRODUCT(dados!O:O,-(dados!$B:$B=$B20),-(dados!$C:$C&lt;=$C20)))</f>
        <v>511.1</v>
      </c>
      <c r="P20" s="69">
        <f>ABS(SUMPRODUCT(dados!P:P,-(dados!$B:$B=$B20),-(dados!$C:$C&lt;=$C20)))</f>
        <v>400.79999999999995</v>
      </c>
      <c r="Q20" s="69">
        <f>ABS(SUMPRODUCT(dados!Q:Q,-(dados!$B:$B=$B20),-(dados!$C:$C&lt;=$C20)))</f>
        <v>412.6</v>
      </c>
      <c r="R20" s="69">
        <f>ABS(SUMPRODUCT(dados!R:R,-(dados!$B:$B=$B20),-(dados!$C:$C&lt;=$C20)))</f>
        <v>366.7</v>
      </c>
      <c r="S20" s="69">
        <f>ABS(SUMPRODUCT(dados!S:S,-(dados!$B:$B=$B20),-(dados!$C:$C&lt;=$C20)))</f>
        <v>535.9</v>
      </c>
      <c r="T20" s="69">
        <f>ABS(SUMPRODUCT(dados!T:T,-(dados!$B:$B=$B20),-(dados!$C:$C&lt;=$C20)))</f>
        <v>61</v>
      </c>
      <c r="U20" s="69">
        <f>ABS(SUMPRODUCT(dados!U:U,-(dados!$B:$B=$B20),-(dados!$C:$C&lt;=$C20)))</f>
        <v>516.79999999999995</v>
      </c>
    </row>
    <row r="21" spans="1:21" x14ac:dyDescent="0.25">
      <c r="A21" t="str">
        <f>dados!A21</f>
        <v>20186</v>
      </c>
      <c r="B21">
        <f>dados!B21</f>
        <v>2018</v>
      </c>
      <c r="C21">
        <f>dados!C21</f>
        <v>6</v>
      </c>
      <c r="D21" s="16">
        <f>dados!D21</f>
        <v>43252</v>
      </c>
      <c r="E21" s="69">
        <f>ABS(SUMPRODUCT(dados!E:E,-(dados!$B:$B=$B21),-(dados!$C:$C&lt;=$C21)))</f>
        <v>558.5</v>
      </c>
      <c r="F21" s="69">
        <f>ABS(SUMPRODUCT(dados!F:F,-(dados!$B:$B=$B21),-(dados!$C:$C&lt;=$C21)))</f>
        <v>547.6</v>
      </c>
      <c r="G21" s="69">
        <f>ABS(SUMPRODUCT(dados!G:G,-(dados!$B:$B=$B21),-(dados!$C:$C&lt;=$C21)))</f>
        <v>637.4</v>
      </c>
      <c r="H21" s="69">
        <f>ABS(SUMPRODUCT(dados!H:H,-(dados!$B:$B=$B21),-(dados!$C:$C&lt;=$C21)))</f>
        <v>512.1</v>
      </c>
      <c r="I21" s="69">
        <f>ABS(SUMPRODUCT(dados!I:I,-(dados!$B:$B=$B21),-(dados!$C:$C&lt;=$C21)))</f>
        <v>525.4</v>
      </c>
      <c r="J21" s="69">
        <f>ABS(SUMPRODUCT(dados!J:J,-(dados!$B:$B=$B21),-(dados!$C:$C&lt;=$C21)))</f>
        <v>531.09999999999991</v>
      </c>
      <c r="K21" s="69">
        <f>ABS(SUMPRODUCT(dados!K:K,-(dados!$B:$B=$B21),-(dados!$C:$C&lt;=$C21)))</f>
        <v>338.59999999999997</v>
      </c>
      <c r="L21" s="69">
        <f>ABS(SUMPRODUCT(dados!L:L,-(dados!$B:$B=$B21),-(dados!$C:$C&lt;=$C21)))</f>
        <v>524.4</v>
      </c>
      <c r="M21" s="69">
        <f>ABS(SUMPRODUCT(dados!M:M,-(dados!$B:$B=$B21),-(dados!$C:$C&lt;=$C21)))</f>
        <v>433.4</v>
      </c>
      <c r="N21" s="69">
        <f>ABS(SUMPRODUCT(dados!N:N,-(dados!$B:$B=$B21),-(dados!$C:$C&lt;=$C21)))</f>
        <v>503.9</v>
      </c>
      <c r="O21" s="69">
        <f>ABS(SUMPRODUCT(dados!O:O,-(dados!$B:$B=$B21),-(dados!$C:$C&lt;=$C21)))</f>
        <v>599.70000000000005</v>
      </c>
      <c r="P21" s="69">
        <f>ABS(SUMPRODUCT(dados!P:P,-(dados!$B:$B=$B21),-(dados!$C:$C&lt;=$C21)))</f>
        <v>497.49999999999994</v>
      </c>
      <c r="Q21" s="69">
        <f>ABS(SUMPRODUCT(dados!Q:Q,-(dados!$B:$B=$B21),-(dados!$C:$C&lt;=$C21)))</f>
        <v>481.6</v>
      </c>
      <c r="R21" s="69">
        <f>ABS(SUMPRODUCT(dados!R:R,-(dados!$B:$B=$B21),-(dados!$C:$C&lt;=$C21)))</f>
        <v>438.79999999999995</v>
      </c>
      <c r="S21" s="69">
        <f>ABS(SUMPRODUCT(dados!S:S,-(dados!$B:$B=$B21),-(dados!$C:$C&lt;=$C21)))</f>
        <v>664.2</v>
      </c>
      <c r="T21" s="69">
        <f>ABS(SUMPRODUCT(dados!T:T,-(dados!$B:$B=$B21),-(dados!$C:$C&lt;=$C21)))</f>
        <v>71.5</v>
      </c>
      <c r="U21" s="69">
        <f>ABS(SUMPRODUCT(dados!U:U,-(dados!$B:$B=$B21),-(dados!$C:$C&lt;=$C21)))</f>
        <v>629.59999999999991</v>
      </c>
    </row>
    <row r="22" spans="1:21" x14ac:dyDescent="0.25">
      <c r="A22" t="str">
        <f>dados!A22</f>
        <v>20187</v>
      </c>
      <c r="B22">
        <f>dados!B22</f>
        <v>2018</v>
      </c>
      <c r="C22">
        <f>dados!C22</f>
        <v>7</v>
      </c>
      <c r="D22" s="16">
        <f>dados!D22</f>
        <v>43282</v>
      </c>
      <c r="E22" s="69">
        <f>ABS(SUMPRODUCT(dados!E:E,-(dados!$B:$B=$B22),-(dados!$C:$C&lt;=$C22)))</f>
        <v>651.20000000000005</v>
      </c>
      <c r="F22" s="69">
        <f>ABS(SUMPRODUCT(dados!F:F,-(dados!$B:$B=$B22),-(dados!$C:$C&lt;=$C22)))</f>
        <v>643.20000000000005</v>
      </c>
      <c r="G22" s="69">
        <f>ABS(SUMPRODUCT(dados!G:G,-(dados!$B:$B=$B22),-(dados!$C:$C&lt;=$C22)))</f>
        <v>744.19999999999993</v>
      </c>
      <c r="H22" s="69">
        <f>ABS(SUMPRODUCT(dados!H:H,-(dados!$B:$B=$B22),-(dados!$C:$C&lt;=$C22)))</f>
        <v>603.30000000000007</v>
      </c>
      <c r="I22" s="69">
        <f>ABS(SUMPRODUCT(dados!I:I,-(dados!$B:$B=$B22),-(dados!$C:$C&lt;=$C22)))</f>
        <v>618.79999999999995</v>
      </c>
      <c r="J22" s="69">
        <f>ABS(SUMPRODUCT(dados!J:J,-(dados!$B:$B=$B22),-(dados!$C:$C&lt;=$C22)))</f>
        <v>622.69999999999993</v>
      </c>
      <c r="K22" s="69">
        <f>ABS(SUMPRODUCT(dados!K:K,-(dados!$B:$B=$B22),-(dados!$C:$C&lt;=$C22)))</f>
        <v>394.4</v>
      </c>
      <c r="L22" s="69">
        <f>ABS(SUMPRODUCT(dados!L:L,-(dados!$B:$B=$B22),-(dados!$C:$C&lt;=$C22)))</f>
        <v>620.9</v>
      </c>
      <c r="M22" s="69">
        <f>ABS(SUMPRODUCT(dados!M:M,-(dados!$B:$B=$B22),-(dados!$C:$C&lt;=$C22)))</f>
        <v>513.6</v>
      </c>
      <c r="N22" s="69">
        <f>ABS(SUMPRODUCT(dados!N:N,-(dados!$B:$B=$B22),-(dados!$C:$C&lt;=$C22)))</f>
        <v>592.69999999999993</v>
      </c>
      <c r="O22" s="69">
        <f>ABS(SUMPRODUCT(dados!O:O,-(dados!$B:$B=$B22),-(dados!$C:$C&lt;=$C22)))</f>
        <v>706.7</v>
      </c>
      <c r="P22" s="69">
        <f>ABS(SUMPRODUCT(dados!P:P,-(dados!$B:$B=$B22),-(dados!$C:$C&lt;=$C22)))</f>
        <v>596.59999999999991</v>
      </c>
      <c r="Q22" s="69">
        <f>ABS(SUMPRODUCT(dados!Q:Q,-(dados!$B:$B=$B22),-(dados!$C:$C&lt;=$C22)))</f>
        <v>558.1</v>
      </c>
      <c r="R22" s="69">
        <f>ABS(SUMPRODUCT(dados!R:R,-(dados!$B:$B=$B22),-(dados!$C:$C&lt;=$C22)))</f>
        <v>512.5</v>
      </c>
      <c r="S22" s="69">
        <f>ABS(SUMPRODUCT(dados!S:S,-(dados!$B:$B=$B22),-(dados!$C:$C&lt;=$C22)))</f>
        <v>794.30000000000007</v>
      </c>
      <c r="T22" s="69">
        <f>ABS(SUMPRODUCT(dados!T:T,-(dados!$B:$B=$B22),-(dados!$C:$C&lt;=$C22)))</f>
        <v>82.1</v>
      </c>
      <c r="U22" s="69">
        <f>ABS(SUMPRODUCT(dados!U:U,-(dados!$B:$B=$B22),-(dados!$C:$C&lt;=$C22)))</f>
        <v>725.89999999999986</v>
      </c>
    </row>
    <row r="23" spans="1:21" x14ac:dyDescent="0.25">
      <c r="A23" t="str">
        <f>dados!A23</f>
        <v>20188</v>
      </c>
      <c r="B23">
        <f>dados!B23</f>
        <v>2018</v>
      </c>
      <c r="C23">
        <f>dados!C23</f>
        <v>8</v>
      </c>
      <c r="D23" s="16">
        <f>dados!D23</f>
        <v>43313</v>
      </c>
      <c r="E23" s="69">
        <f>ABS(SUMPRODUCT(dados!E:E,-(dados!$B:$B=$B23),-(dados!$C:$C&lt;=$C23)))</f>
        <v>743.6</v>
      </c>
      <c r="F23" s="69">
        <f>ABS(SUMPRODUCT(dados!F:F,-(dados!$B:$B=$B23),-(dados!$C:$C&lt;=$C23)))</f>
        <v>738.2</v>
      </c>
      <c r="G23" s="69">
        <f>ABS(SUMPRODUCT(dados!G:G,-(dados!$B:$B=$B23),-(dados!$C:$C&lt;=$C23)))</f>
        <v>844.49999999999989</v>
      </c>
      <c r="H23" s="69">
        <f>ABS(SUMPRODUCT(dados!H:H,-(dados!$B:$B=$B23),-(dados!$C:$C&lt;=$C23)))</f>
        <v>696.30000000000007</v>
      </c>
      <c r="I23" s="69">
        <f>ABS(SUMPRODUCT(dados!I:I,-(dados!$B:$B=$B23),-(dados!$C:$C&lt;=$C23)))</f>
        <v>709.8</v>
      </c>
      <c r="J23" s="69">
        <f>ABS(SUMPRODUCT(dados!J:J,-(dados!$B:$B=$B23),-(dados!$C:$C&lt;=$C23)))</f>
        <v>708.19999999999993</v>
      </c>
      <c r="K23" s="69">
        <f>ABS(SUMPRODUCT(dados!K:K,-(dados!$B:$B=$B23),-(dados!$C:$C&lt;=$C23)))</f>
        <v>449.4</v>
      </c>
      <c r="L23" s="69">
        <f>ABS(SUMPRODUCT(dados!L:L,-(dados!$B:$B=$B23),-(dados!$C:$C&lt;=$C23)))</f>
        <v>717.19999999999993</v>
      </c>
      <c r="M23" s="69">
        <f>ABS(SUMPRODUCT(dados!M:M,-(dados!$B:$B=$B23),-(dados!$C:$C&lt;=$C23)))</f>
        <v>615.4</v>
      </c>
      <c r="N23" s="69">
        <f>ABS(SUMPRODUCT(dados!N:N,-(dados!$B:$B=$B23),-(dados!$C:$C&lt;=$C23)))</f>
        <v>699.8</v>
      </c>
      <c r="O23" s="69">
        <f>ABS(SUMPRODUCT(dados!O:O,-(dados!$B:$B=$B23),-(dados!$C:$C&lt;=$C23)))</f>
        <v>811.1</v>
      </c>
      <c r="P23" s="69">
        <f>ABS(SUMPRODUCT(dados!P:P,-(dados!$B:$B=$B23),-(dados!$C:$C&lt;=$C23)))</f>
        <v>691.99999999999989</v>
      </c>
      <c r="Q23" s="69">
        <f>ABS(SUMPRODUCT(dados!Q:Q,-(dados!$B:$B=$B23),-(dados!$C:$C&lt;=$C23)))</f>
        <v>624.70000000000005</v>
      </c>
      <c r="R23" s="69">
        <f>ABS(SUMPRODUCT(dados!R:R,-(dados!$B:$B=$B23),-(dados!$C:$C&lt;=$C23)))</f>
        <v>592.29999999999995</v>
      </c>
      <c r="S23" s="69">
        <f>ABS(SUMPRODUCT(dados!S:S,-(dados!$B:$B=$B23),-(dados!$C:$C&lt;=$C23)))</f>
        <v>936.80000000000007</v>
      </c>
      <c r="T23" s="69">
        <f>ABS(SUMPRODUCT(dados!T:T,-(dados!$B:$B=$B23),-(dados!$C:$C&lt;=$C23)))</f>
        <v>91.5</v>
      </c>
      <c r="U23" s="69">
        <f>ABS(SUMPRODUCT(dados!U:U,-(dados!$B:$B=$B23),-(dados!$C:$C&lt;=$C23)))</f>
        <v>833.59999999999991</v>
      </c>
    </row>
    <row r="24" spans="1:21" x14ac:dyDescent="0.25">
      <c r="A24" t="str">
        <f>dados!A24</f>
        <v>20189</v>
      </c>
      <c r="B24">
        <f>dados!B24</f>
        <v>2018</v>
      </c>
      <c r="C24">
        <f>dados!C24</f>
        <v>9</v>
      </c>
      <c r="D24" s="16">
        <f>dados!D24</f>
        <v>43344</v>
      </c>
      <c r="E24" s="69">
        <f>ABS(SUMPRODUCT(dados!E:E,-(dados!$B:$B=$B24),-(dados!$C:$C&lt;=$C24)))</f>
        <v>836.7</v>
      </c>
      <c r="F24" s="69">
        <f>ABS(SUMPRODUCT(dados!F:F,-(dados!$B:$B=$B24),-(dados!$C:$C&lt;=$C24)))</f>
        <v>828.90000000000009</v>
      </c>
      <c r="G24" s="69">
        <f>ABS(SUMPRODUCT(dados!G:G,-(dados!$B:$B=$B24),-(dados!$C:$C&lt;=$C24)))</f>
        <v>943.09999999999991</v>
      </c>
      <c r="H24" s="69">
        <f>ABS(SUMPRODUCT(dados!H:H,-(dados!$B:$B=$B24),-(dados!$C:$C&lt;=$C24)))</f>
        <v>783.90000000000009</v>
      </c>
      <c r="I24" s="69">
        <f>ABS(SUMPRODUCT(dados!I:I,-(dados!$B:$B=$B24),-(dados!$C:$C&lt;=$C24)))</f>
        <v>811.8</v>
      </c>
      <c r="J24" s="69">
        <f>ABS(SUMPRODUCT(dados!J:J,-(dados!$B:$B=$B24),-(dados!$C:$C&lt;=$C24)))</f>
        <v>790.19999999999993</v>
      </c>
      <c r="K24" s="69">
        <f>ABS(SUMPRODUCT(dados!K:K,-(dados!$B:$B=$B24),-(dados!$C:$C&lt;=$C24)))</f>
        <v>505</v>
      </c>
      <c r="L24" s="69">
        <f>ABS(SUMPRODUCT(dados!L:L,-(dados!$B:$B=$B24),-(dados!$C:$C&lt;=$C24)))</f>
        <v>807.59999999999991</v>
      </c>
      <c r="M24" s="69">
        <f>ABS(SUMPRODUCT(dados!M:M,-(dados!$B:$B=$B24),-(dados!$C:$C&lt;=$C24)))</f>
        <v>713.4</v>
      </c>
      <c r="N24" s="69">
        <f>ABS(SUMPRODUCT(dados!N:N,-(dados!$B:$B=$B24),-(dados!$C:$C&lt;=$C24)))</f>
        <v>775.9</v>
      </c>
      <c r="O24" s="69">
        <f>ABS(SUMPRODUCT(dados!O:O,-(dados!$B:$B=$B24),-(dados!$C:$C&lt;=$C24)))</f>
        <v>917.80000000000007</v>
      </c>
      <c r="P24" s="69">
        <f>ABS(SUMPRODUCT(dados!P:P,-(dados!$B:$B=$B24),-(dados!$C:$C&lt;=$C24)))</f>
        <v>787.49999999999989</v>
      </c>
      <c r="Q24" s="69">
        <f>ABS(SUMPRODUCT(dados!Q:Q,-(dados!$B:$B=$B24),-(dados!$C:$C&lt;=$C24)))</f>
        <v>698</v>
      </c>
      <c r="R24" s="69">
        <f>ABS(SUMPRODUCT(dados!R:R,-(dados!$B:$B=$B24),-(dados!$C:$C&lt;=$C24)))</f>
        <v>683</v>
      </c>
      <c r="S24" s="69">
        <f>ABS(SUMPRODUCT(dados!S:S,-(dados!$B:$B=$B24),-(dados!$C:$C&lt;=$C24)))</f>
        <v>1047.1000000000001</v>
      </c>
      <c r="T24" s="69">
        <f>ABS(SUMPRODUCT(dados!T:T,-(dados!$B:$B=$B24),-(dados!$C:$C&lt;=$C24)))</f>
        <v>98.1</v>
      </c>
      <c r="U24" s="69">
        <f>ABS(SUMPRODUCT(dados!U:U,-(dados!$B:$B=$B24),-(dados!$C:$C&lt;=$C24)))</f>
        <v>929.39999999999986</v>
      </c>
    </row>
    <row r="25" spans="1:21" x14ac:dyDescent="0.25">
      <c r="A25" t="str">
        <f>dados!A25</f>
        <v>201810</v>
      </c>
      <c r="B25">
        <f>dados!B25</f>
        <v>2018</v>
      </c>
      <c r="C25">
        <f>dados!C25</f>
        <v>10</v>
      </c>
      <c r="D25" s="16">
        <f>dados!D25</f>
        <v>43374</v>
      </c>
      <c r="E25" s="69">
        <f>ABS(SUMPRODUCT(dados!E:E,-(dados!$B:$B=$B25),-(dados!$C:$C&lt;=$C25)))</f>
        <v>929</v>
      </c>
      <c r="F25" s="69">
        <f>ABS(SUMPRODUCT(dados!F:F,-(dados!$B:$B=$B25),-(dados!$C:$C&lt;=$C25)))</f>
        <v>927.2</v>
      </c>
      <c r="G25" s="69">
        <f>ABS(SUMPRODUCT(dados!G:G,-(dados!$B:$B=$B25),-(dados!$C:$C&lt;=$C25)))</f>
        <v>1050.5999999999999</v>
      </c>
      <c r="H25" s="69">
        <f>ABS(SUMPRODUCT(dados!H:H,-(dados!$B:$B=$B25),-(dados!$C:$C&lt;=$C25)))</f>
        <v>878.60000000000014</v>
      </c>
      <c r="I25" s="69">
        <f>ABS(SUMPRODUCT(dados!I:I,-(dados!$B:$B=$B25),-(dados!$C:$C&lt;=$C25)))</f>
        <v>929.59999999999991</v>
      </c>
      <c r="J25" s="69">
        <f>ABS(SUMPRODUCT(dados!J:J,-(dados!$B:$B=$B25),-(dados!$C:$C&lt;=$C25)))</f>
        <v>887.19999999999993</v>
      </c>
      <c r="K25" s="69">
        <f>ABS(SUMPRODUCT(dados!K:K,-(dados!$B:$B=$B25),-(dados!$C:$C&lt;=$C25)))</f>
        <v>560.9</v>
      </c>
      <c r="L25" s="69">
        <f>ABS(SUMPRODUCT(dados!L:L,-(dados!$B:$B=$B25),-(dados!$C:$C&lt;=$C25)))</f>
        <v>904.69999999999993</v>
      </c>
      <c r="M25" s="69">
        <f>ABS(SUMPRODUCT(dados!M:M,-(dados!$B:$B=$B25),-(dados!$C:$C&lt;=$C25)))</f>
        <v>807.6</v>
      </c>
      <c r="N25" s="69">
        <f>ABS(SUMPRODUCT(dados!N:N,-(dados!$B:$B=$B25),-(dados!$C:$C&lt;=$C25)))</f>
        <v>865.3</v>
      </c>
      <c r="O25" s="69">
        <f>ABS(SUMPRODUCT(dados!O:O,-(dados!$B:$B=$B25),-(dados!$C:$C&lt;=$C25)))</f>
        <v>1038.1000000000001</v>
      </c>
      <c r="P25" s="69">
        <f>ABS(SUMPRODUCT(dados!P:P,-(dados!$B:$B=$B25),-(dados!$C:$C&lt;=$C25)))</f>
        <v>877.79999999999984</v>
      </c>
      <c r="Q25" s="69">
        <f>ABS(SUMPRODUCT(dados!Q:Q,-(dados!$B:$B=$B25),-(dados!$C:$C&lt;=$C25)))</f>
        <v>774.2</v>
      </c>
      <c r="R25" s="69">
        <f>ABS(SUMPRODUCT(dados!R:R,-(dados!$B:$B=$B25),-(dados!$C:$C&lt;=$C25)))</f>
        <v>804.3</v>
      </c>
      <c r="S25" s="69">
        <f>ABS(SUMPRODUCT(dados!S:S,-(dados!$B:$B=$B25),-(dados!$C:$C&lt;=$C25)))</f>
        <v>1170.9000000000001</v>
      </c>
      <c r="T25" s="69">
        <f>ABS(SUMPRODUCT(dados!T:T,-(dados!$B:$B=$B25),-(dados!$C:$C&lt;=$C25)))</f>
        <v>104.8</v>
      </c>
      <c r="U25" s="69">
        <f>ABS(SUMPRODUCT(dados!U:U,-(dados!$B:$B=$B25),-(dados!$C:$C&lt;=$C25)))</f>
        <v>1019.9999999999999</v>
      </c>
    </row>
    <row r="26" spans="1:21" x14ac:dyDescent="0.25">
      <c r="A26" t="str">
        <f>dados!A26</f>
        <v>201811</v>
      </c>
      <c r="B26">
        <f>dados!B26</f>
        <v>2018</v>
      </c>
      <c r="C26">
        <f>dados!C26</f>
        <v>11</v>
      </c>
      <c r="D26" s="16">
        <f>dados!D26</f>
        <v>43405</v>
      </c>
      <c r="E26" s="69">
        <f>ABS(SUMPRODUCT(dados!E:E,-(dados!$B:$B=$B26),-(dados!$C:$C&lt;=$C26)))</f>
        <v>1019.4</v>
      </c>
      <c r="F26" s="69">
        <f>ABS(SUMPRODUCT(dados!F:F,-(dados!$B:$B=$B26),-(dados!$C:$C&lt;=$C26)))</f>
        <v>1018.5</v>
      </c>
      <c r="G26" s="69">
        <f>ABS(SUMPRODUCT(dados!G:G,-(dados!$B:$B=$B26),-(dados!$C:$C&lt;=$C26)))</f>
        <v>1155.8</v>
      </c>
      <c r="H26" s="69">
        <f>ABS(SUMPRODUCT(dados!H:H,-(dados!$B:$B=$B26),-(dados!$C:$C&lt;=$C26)))</f>
        <v>964.40000000000009</v>
      </c>
      <c r="I26" s="69">
        <f>ABS(SUMPRODUCT(dados!I:I,-(dados!$B:$B=$B26),-(dados!$C:$C&lt;=$C26)))</f>
        <v>1040.5999999999999</v>
      </c>
      <c r="J26" s="69">
        <f>ABS(SUMPRODUCT(dados!J:J,-(dados!$B:$B=$B26),-(dados!$C:$C&lt;=$C26)))</f>
        <v>985.8</v>
      </c>
      <c r="K26" s="69">
        <f>ABS(SUMPRODUCT(dados!K:K,-(dados!$B:$B=$B26),-(dados!$C:$C&lt;=$C26)))</f>
        <v>618</v>
      </c>
      <c r="L26" s="69">
        <f>ABS(SUMPRODUCT(dados!L:L,-(dados!$B:$B=$B26),-(dados!$C:$C&lt;=$C26)))</f>
        <v>987.99999999999989</v>
      </c>
      <c r="M26" s="69">
        <f>ABS(SUMPRODUCT(dados!M:M,-(dados!$B:$B=$B26),-(dados!$C:$C&lt;=$C26)))</f>
        <v>901.4</v>
      </c>
      <c r="N26" s="69">
        <f>ABS(SUMPRODUCT(dados!N:N,-(dados!$B:$B=$B26),-(dados!$C:$C&lt;=$C26)))</f>
        <v>944.19999999999993</v>
      </c>
      <c r="O26" s="69">
        <f>ABS(SUMPRODUCT(dados!O:O,-(dados!$B:$B=$B26),-(dados!$C:$C&lt;=$C26)))</f>
        <v>1144.1000000000001</v>
      </c>
      <c r="P26" s="69">
        <f>ABS(SUMPRODUCT(dados!P:P,-(dados!$B:$B=$B26),-(dados!$C:$C&lt;=$C26)))</f>
        <v>966.79999999999984</v>
      </c>
      <c r="Q26" s="69">
        <f>ABS(SUMPRODUCT(dados!Q:Q,-(dados!$B:$B=$B26),-(dados!$C:$C&lt;=$C26)))</f>
        <v>848</v>
      </c>
      <c r="R26" s="69">
        <f>ABS(SUMPRODUCT(dados!R:R,-(dados!$B:$B=$B26),-(dados!$C:$C&lt;=$C26)))</f>
        <v>893.09999999999991</v>
      </c>
      <c r="S26" s="69">
        <f>ABS(SUMPRODUCT(dados!S:S,-(dados!$B:$B=$B26),-(dados!$C:$C&lt;=$C26)))</f>
        <v>1279.1000000000001</v>
      </c>
      <c r="T26" s="69">
        <f>ABS(SUMPRODUCT(dados!T:T,-(dados!$B:$B=$B26),-(dados!$C:$C&lt;=$C26)))</f>
        <v>110.89999999999999</v>
      </c>
      <c r="U26" s="69">
        <f>ABS(SUMPRODUCT(dados!U:U,-(dados!$B:$B=$B26),-(dados!$C:$C&lt;=$C26)))</f>
        <v>1114.6999999999998</v>
      </c>
    </row>
    <row r="27" spans="1:21" x14ac:dyDescent="0.25">
      <c r="A27" t="str">
        <f>dados!A27</f>
        <v>201812</v>
      </c>
      <c r="B27">
        <f>dados!B27</f>
        <v>2018</v>
      </c>
      <c r="C27">
        <f>dados!C27</f>
        <v>12</v>
      </c>
      <c r="D27" s="16">
        <f>dados!D27</f>
        <v>43435</v>
      </c>
      <c r="E27" s="69">
        <f>ABS(SUMPRODUCT(dados!E:E,-(dados!$B:$B=$B27),-(dados!$C:$C&lt;=$C27)))</f>
        <v>1113</v>
      </c>
      <c r="F27" s="69">
        <f>ABS(SUMPRODUCT(dados!F:F,-(dados!$B:$B=$B27),-(dados!$C:$C&lt;=$C27)))</f>
        <v>1112.5999999999999</v>
      </c>
      <c r="G27" s="69">
        <f>ABS(SUMPRODUCT(dados!G:G,-(dados!$B:$B=$B27),-(dados!$C:$C&lt;=$C27)))</f>
        <v>1269.8</v>
      </c>
      <c r="H27" s="69">
        <f>ABS(SUMPRODUCT(dados!H:H,-(dados!$B:$B=$B27),-(dados!$C:$C&lt;=$C27)))</f>
        <v>1050.6000000000001</v>
      </c>
      <c r="I27" s="69">
        <f>ABS(SUMPRODUCT(dados!I:I,-(dados!$B:$B=$B27),-(dados!$C:$C&lt;=$C27)))</f>
        <v>1168.8</v>
      </c>
      <c r="J27" s="69">
        <f>ABS(SUMPRODUCT(dados!J:J,-(dados!$B:$B=$B27),-(dados!$C:$C&lt;=$C27)))</f>
        <v>1102</v>
      </c>
      <c r="K27" s="69">
        <f>ABS(SUMPRODUCT(dados!K:K,-(dados!$B:$B=$B27),-(dados!$C:$C&lt;=$C27)))</f>
        <v>673.7</v>
      </c>
      <c r="L27" s="69">
        <f>ABS(SUMPRODUCT(dados!L:L,-(dados!$B:$B=$B27),-(dados!$C:$C&lt;=$C27)))</f>
        <v>1076.1999999999998</v>
      </c>
      <c r="M27" s="69">
        <f>ABS(SUMPRODUCT(dados!M:M,-(dados!$B:$B=$B27),-(dados!$C:$C&lt;=$C27)))</f>
        <v>970.9</v>
      </c>
      <c r="N27" s="69">
        <f>ABS(SUMPRODUCT(dados!N:N,-(dados!$B:$B=$B27),-(dados!$C:$C&lt;=$C27)))</f>
        <v>1062.5999999999999</v>
      </c>
      <c r="O27" s="69">
        <f>ABS(SUMPRODUCT(dados!O:O,-(dados!$B:$B=$B27),-(dados!$C:$C&lt;=$C27)))</f>
        <v>1241.1000000000001</v>
      </c>
      <c r="P27" s="69">
        <f>ABS(SUMPRODUCT(dados!P:P,-(dados!$B:$B=$B27),-(dados!$C:$C&lt;=$C27)))</f>
        <v>1057.1999999999998</v>
      </c>
      <c r="Q27" s="69">
        <f>ABS(SUMPRODUCT(dados!Q:Q,-(dados!$B:$B=$B27),-(dados!$C:$C&lt;=$C27)))</f>
        <v>919.2</v>
      </c>
      <c r="R27" s="69">
        <f>ABS(SUMPRODUCT(dados!R:R,-(dados!$B:$B=$B27),-(dados!$C:$C&lt;=$C27)))</f>
        <v>972.39999999999986</v>
      </c>
      <c r="S27" s="69">
        <f>ABS(SUMPRODUCT(dados!S:S,-(dados!$B:$B=$B27),-(dados!$C:$C&lt;=$C27)))</f>
        <v>1358.0000000000002</v>
      </c>
      <c r="T27" s="69">
        <f>ABS(SUMPRODUCT(dados!T:T,-(dados!$B:$B=$B27),-(dados!$C:$C&lt;=$C27)))</f>
        <v>114.89999999999999</v>
      </c>
      <c r="U27" s="69">
        <f>ABS(SUMPRODUCT(dados!U:U,-(dados!$B:$B=$B27),-(dados!$C:$C&lt;=$C27)))</f>
        <v>1204.4999999999998</v>
      </c>
    </row>
    <row r="28" spans="1:21" x14ac:dyDescent="0.25">
      <c r="A28" t="str">
        <f>dados!A28</f>
        <v>20191</v>
      </c>
      <c r="B28">
        <f>dados!B28</f>
        <v>2019</v>
      </c>
      <c r="C28">
        <f>dados!C28</f>
        <v>1</v>
      </c>
      <c r="D28" s="16">
        <f>dados!D28</f>
        <v>43466</v>
      </c>
      <c r="E28" s="69">
        <f>ABS(SUMPRODUCT(dados!E:E,-(dados!$B:$B=$B28),-(dados!$C:$C&lt;=$C28)))</f>
        <v>92.2</v>
      </c>
      <c r="F28" s="69">
        <f>ABS(SUMPRODUCT(dados!F:F,-(dados!$B:$B=$B28),-(dados!$C:$C&lt;=$C28)))</f>
        <v>92.9</v>
      </c>
      <c r="G28" s="69">
        <f>ABS(SUMPRODUCT(dados!G:G,-(dados!$B:$B=$B28),-(dados!$C:$C&lt;=$C28)))</f>
        <v>111.7</v>
      </c>
      <c r="H28" s="69">
        <f>ABS(SUMPRODUCT(dados!H:H,-(dados!$B:$B=$B28),-(dados!$C:$C&lt;=$C28)))</f>
        <v>85.5</v>
      </c>
      <c r="I28" s="69">
        <f>ABS(SUMPRODUCT(dados!I:I,-(dados!$B:$B=$B28),-(dados!$C:$C&lt;=$C28)))</f>
        <v>129.30000000000001</v>
      </c>
      <c r="J28" s="69">
        <f>ABS(SUMPRODUCT(dados!J:J,-(dados!$B:$B=$B28),-(dados!$C:$C&lt;=$C28)))</f>
        <v>104.1</v>
      </c>
      <c r="K28" s="69">
        <f>ABS(SUMPRODUCT(dados!K:K,-(dados!$B:$B=$B28),-(dados!$C:$C&lt;=$C28)))</f>
        <v>55</v>
      </c>
      <c r="L28" s="69">
        <f>ABS(SUMPRODUCT(dados!L:L,-(dados!$B:$B=$B28),-(dados!$C:$C&lt;=$C28)))</f>
        <v>84.2</v>
      </c>
      <c r="M28" s="69">
        <f>ABS(SUMPRODUCT(dados!M:M,-(dados!$B:$B=$B28),-(dados!$C:$C&lt;=$C28)))</f>
        <v>72.2</v>
      </c>
      <c r="N28" s="69">
        <f>ABS(SUMPRODUCT(dados!N:N,-(dados!$B:$B=$B28),-(dados!$C:$C&lt;=$C28)))</f>
        <v>86.2</v>
      </c>
      <c r="O28" s="69">
        <f>ABS(SUMPRODUCT(dados!O:O,-(dados!$B:$B=$B28),-(dados!$C:$C&lt;=$C28)))</f>
        <v>107.5</v>
      </c>
      <c r="P28" s="69">
        <f>ABS(SUMPRODUCT(dados!P:P,-(dados!$B:$B=$B28),-(dados!$C:$C&lt;=$C28)))</f>
        <v>84.2</v>
      </c>
      <c r="Q28" s="69">
        <f>ABS(SUMPRODUCT(dados!Q:Q,-(dados!$B:$B=$B28),-(dados!$C:$C&lt;=$C28)))</f>
        <v>75.8</v>
      </c>
      <c r="R28" s="69">
        <f>ABS(SUMPRODUCT(dados!R:R,-(dados!$B:$B=$B28),-(dados!$C:$C&lt;=$C28)))</f>
        <v>75.900000000000006</v>
      </c>
      <c r="S28" s="69">
        <f>ABS(SUMPRODUCT(dados!S:S,-(dados!$B:$B=$B28),-(dados!$C:$C&lt;=$C28)))</f>
        <v>99.7</v>
      </c>
      <c r="T28" s="69">
        <f>ABS(SUMPRODUCT(dados!T:T,-(dados!$B:$B=$B28),-(dados!$C:$C&lt;=$C28)))</f>
        <v>5.7</v>
      </c>
      <c r="U28" s="69">
        <f>ABS(SUMPRODUCT(dados!U:U,-(dados!$B:$B=$B28),-(dados!$C:$C&lt;=$C28)))</f>
        <v>95.3</v>
      </c>
    </row>
    <row r="29" spans="1:21" x14ac:dyDescent="0.25">
      <c r="A29" t="str">
        <f>dados!A29</f>
        <v>20192</v>
      </c>
      <c r="B29">
        <f>dados!B29</f>
        <v>2019</v>
      </c>
      <c r="C29">
        <f>dados!C29</f>
        <v>2</v>
      </c>
      <c r="D29" s="16">
        <f>dados!D29</f>
        <v>43497</v>
      </c>
      <c r="E29" s="69">
        <f>ABS(SUMPRODUCT(dados!E:E,-(dados!$B:$B=$B29),-(dados!$C:$C&lt;=$C29)))</f>
        <v>182.60000000000002</v>
      </c>
      <c r="F29" s="69">
        <f>ABS(SUMPRODUCT(dados!F:F,-(dados!$B:$B=$B29),-(dados!$C:$C&lt;=$C29)))</f>
        <v>177.60000000000002</v>
      </c>
      <c r="G29" s="69">
        <f>ABS(SUMPRODUCT(dados!G:G,-(dados!$B:$B=$B29),-(dados!$C:$C&lt;=$C29)))</f>
        <v>207.9</v>
      </c>
      <c r="H29" s="69">
        <f>ABS(SUMPRODUCT(dados!H:H,-(dados!$B:$B=$B29),-(dados!$C:$C&lt;=$C29)))</f>
        <v>165.7</v>
      </c>
      <c r="I29" s="69">
        <f>ABS(SUMPRODUCT(dados!I:I,-(dados!$B:$B=$B29),-(dados!$C:$C&lt;=$C29)))</f>
        <v>229.8</v>
      </c>
      <c r="J29" s="69">
        <f>ABS(SUMPRODUCT(dados!J:J,-(dados!$B:$B=$B29),-(dados!$C:$C&lt;=$C29)))</f>
        <v>191.8</v>
      </c>
      <c r="K29" s="69">
        <f>ABS(SUMPRODUCT(dados!K:K,-(dados!$B:$B=$B29),-(dados!$C:$C&lt;=$C29)))</f>
        <v>110.8</v>
      </c>
      <c r="L29" s="69">
        <f>ABS(SUMPRODUCT(dados!L:L,-(dados!$B:$B=$B29),-(dados!$C:$C&lt;=$C29)))</f>
        <v>165.3</v>
      </c>
      <c r="M29" s="69">
        <f>ABS(SUMPRODUCT(dados!M:M,-(dados!$B:$B=$B29),-(dados!$C:$C&lt;=$C29)))</f>
        <v>130.1</v>
      </c>
      <c r="N29" s="69">
        <f>ABS(SUMPRODUCT(dados!N:N,-(dados!$B:$B=$B29),-(dados!$C:$C&lt;=$C29)))</f>
        <v>168</v>
      </c>
      <c r="O29" s="69">
        <f>ABS(SUMPRODUCT(dados!O:O,-(dados!$B:$B=$B29),-(dados!$C:$C&lt;=$C29)))</f>
        <v>206.2</v>
      </c>
      <c r="P29" s="69">
        <f>ABS(SUMPRODUCT(dados!P:P,-(dados!$B:$B=$B29),-(dados!$C:$C&lt;=$C29)))</f>
        <v>161.60000000000002</v>
      </c>
      <c r="Q29" s="69">
        <f>ABS(SUMPRODUCT(dados!Q:Q,-(dados!$B:$B=$B29),-(dados!$C:$C&lt;=$C29)))</f>
        <v>143.69999999999999</v>
      </c>
      <c r="R29" s="69">
        <f>ABS(SUMPRODUCT(dados!R:R,-(dados!$B:$B=$B29),-(dados!$C:$C&lt;=$C29)))</f>
        <v>150.9</v>
      </c>
      <c r="S29" s="69">
        <f>ABS(SUMPRODUCT(dados!S:S,-(dados!$B:$B=$B29),-(dados!$C:$C&lt;=$C29)))</f>
        <v>210.5</v>
      </c>
      <c r="T29" s="69">
        <f>ABS(SUMPRODUCT(dados!T:T,-(dados!$B:$B=$B29),-(dados!$C:$C&lt;=$C29)))</f>
        <v>10.8</v>
      </c>
      <c r="U29" s="69">
        <f>ABS(SUMPRODUCT(dados!U:U,-(dados!$B:$B=$B29),-(dados!$C:$C&lt;=$C29)))</f>
        <v>191.5</v>
      </c>
    </row>
    <row r="30" spans="1:21" x14ac:dyDescent="0.25">
      <c r="A30" t="str">
        <f>dados!A30</f>
        <v>20193</v>
      </c>
      <c r="B30">
        <f>dados!B30</f>
        <v>2019</v>
      </c>
      <c r="C30">
        <f>dados!C30</f>
        <v>3</v>
      </c>
      <c r="D30" s="16">
        <f>dados!D30</f>
        <v>43525</v>
      </c>
      <c r="E30" s="69">
        <f>ABS(SUMPRODUCT(dados!E:E,-(dados!$B:$B=$B30),-(dados!$C:$C&lt;=$C30)))</f>
        <v>274.70000000000005</v>
      </c>
      <c r="F30" s="69">
        <f>ABS(SUMPRODUCT(dados!F:F,-(dados!$B:$B=$B30),-(dados!$C:$C&lt;=$C30)))</f>
        <v>266.5</v>
      </c>
      <c r="G30" s="69">
        <f>ABS(SUMPRODUCT(dados!G:G,-(dados!$B:$B=$B30),-(dados!$C:$C&lt;=$C30)))</f>
        <v>316.89999999999998</v>
      </c>
      <c r="H30" s="69">
        <f>ABS(SUMPRODUCT(dados!H:H,-(dados!$B:$B=$B30),-(dados!$C:$C&lt;=$C30)))</f>
        <v>246.7</v>
      </c>
      <c r="I30" s="69">
        <f>ABS(SUMPRODUCT(dados!I:I,-(dados!$B:$B=$B30),-(dados!$C:$C&lt;=$C30)))</f>
        <v>300.8</v>
      </c>
      <c r="J30" s="69">
        <f>ABS(SUMPRODUCT(dados!J:J,-(dados!$B:$B=$B30),-(dados!$C:$C&lt;=$C30)))</f>
        <v>283.10000000000002</v>
      </c>
      <c r="K30" s="69">
        <f>ABS(SUMPRODUCT(dados!K:K,-(dados!$B:$B=$B30),-(dados!$C:$C&lt;=$C30)))</f>
        <v>165.7</v>
      </c>
      <c r="L30" s="69">
        <f>ABS(SUMPRODUCT(dados!L:L,-(dados!$B:$B=$B30),-(dados!$C:$C&lt;=$C30)))</f>
        <v>254.5</v>
      </c>
      <c r="M30" s="69">
        <f>ABS(SUMPRODUCT(dados!M:M,-(dados!$B:$B=$B30),-(dados!$C:$C&lt;=$C30)))</f>
        <v>188.8</v>
      </c>
      <c r="N30" s="69">
        <f>ABS(SUMPRODUCT(dados!N:N,-(dados!$B:$B=$B30),-(dados!$C:$C&lt;=$C30)))</f>
        <v>230.5</v>
      </c>
      <c r="O30" s="69">
        <f>ABS(SUMPRODUCT(dados!O:O,-(dados!$B:$B=$B30),-(dados!$C:$C&lt;=$C30)))</f>
        <v>297.29999999999995</v>
      </c>
      <c r="P30" s="69">
        <f>ABS(SUMPRODUCT(dados!P:P,-(dados!$B:$B=$B30),-(dados!$C:$C&lt;=$C30)))</f>
        <v>244.60000000000002</v>
      </c>
      <c r="Q30" s="69">
        <f>ABS(SUMPRODUCT(dados!Q:Q,-(dados!$B:$B=$B30),-(dados!$C:$C&lt;=$C30)))</f>
        <v>220.2</v>
      </c>
      <c r="R30" s="69">
        <f>ABS(SUMPRODUCT(dados!R:R,-(dados!$B:$B=$B30),-(dados!$C:$C&lt;=$C30)))</f>
        <v>245.7</v>
      </c>
      <c r="S30" s="69">
        <f>ABS(SUMPRODUCT(dados!S:S,-(dados!$B:$B=$B30),-(dados!$C:$C&lt;=$C30)))</f>
        <v>302.7</v>
      </c>
      <c r="T30" s="69">
        <f>ABS(SUMPRODUCT(dados!T:T,-(dados!$B:$B=$B30),-(dados!$C:$C&lt;=$C30)))</f>
        <v>15.200000000000001</v>
      </c>
      <c r="U30" s="69">
        <f>ABS(SUMPRODUCT(dados!U:U,-(dados!$B:$B=$B30),-(dados!$C:$C&lt;=$C30)))</f>
        <v>285.5</v>
      </c>
    </row>
    <row r="31" spans="1:21" x14ac:dyDescent="0.25">
      <c r="A31" t="str">
        <f>dados!A31</f>
        <v>20194</v>
      </c>
      <c r="B31">
        <f>dados!B31</f>
        <v>2019</v>
      </c>
      <c r="C31">
        <f>dados!C31</f>
        <v>4</v>
      </c>
      <c r="D31" s="16">
        <f>dados!D31</f>
        <v>43556</v>
      </c>
      <c r="E31" s="69">
        <f>ABS(SUMPRODUCT(dados!E:E,-(dados!$B:$B=$B31),-(dados!$C:$C&lt;=$C31)))</f>
        <v>362.70000000000005</v>
      </c>
      <c r="F31" s="69">
        <f>ABS(SUMPRODUCT(dados!F:F,-(dados!$B:$B=$B31),-(dados!$C:$C&lt;=$C31)))</f>
        <v>352.9</v>
      </c>
      <c r="G31" s="69">
        <f>ABS(SUMPRODUCT(dados!G:G,-(dados!$B:$B=$B31),-(dados!$C:$C&lt;=$C31)))</f>
        <v>426.5</v>
      </c>
      <c r="H31" s="69">
        <f>ABS(SUMPRODUCT(dados!H:H,-(dados!$B:$B=$B31),-(dados!$C:$C&lt;=$C31)))</f>
        <v>323.89999999999998</v>
      </c>
      <c r="I31" s="69">
        <f>ABS(SUMPRODUCT(dados!I:I,-(dados!$B:$B=$B31),-(dados!$C:$C&lt;=$C31)))</f>
        <v>383.6</v>
      </c>
      <c r="J31" s="69">
        <f>ABS(SUMPRODUCT(dados!J:J,-(dados!$B:$B=$B31),-(dados!$C:$C&lt;=$C31)))</f>
        <v>367.90000000000003</v>
      </c>
      <c r="K31" s="69">
        <f>ABS(SUMPRODUCT(dados!K:K,-(dados!$B:$B=$B31),-(dados!$C:$C&lt;=$C31)))</f>
        <v>234.79999999999998</v>
      </c>
      <c r="L31" s="69">
        <f>ABS(SUMPRODUCT(dados!L:L,-(dados!$B:$B=$B31),-(dados!$C:$C&lt;=$C31)))</f>
        <v>327.7</v>
      </c>
      <c r="M31" s="69">
        <f>ABS(SUMPRODUCT(dados!M:M,-(dados!$B:$B=$B31),-(dados!$C:$C&lt;=$C31)))</f>
        <v>250.20000000000002</v>
      </c>
      <c r="N31" s="69">
        <f>ABS(SUMPRODUCT(dados!N:N,-(dados!$B:$B=$B31),-(dados!$C:$C&lt;=$C31)))</f>
        <v>286.5</v>
      </c>
      <c r="O31" s="69">
        <f>ABS(SUMPRODUCT(dados!O:O,-(dados!$B:$B=$B31),-(dados!$C:$C&lt;=$C31)))</f>
        <v>399.4</v>
      </c>
      <c r="P31" s="69">
        <f>ABS(SUMPRODUCT(dados!P:P,-(dados!$B:$B=$B31),-(dados!$C:$C&lt;=$C31)))</f>
        <v>335.20000000000005</v>
      </c>
      <c r="Q31" s="69">
        <f>ABS(SUMPRODUCT(dados!Q:Q,-(dados!$B:$B=$B31),-(dados!$C:$C&lt;=$C31)))</f>
        <v>290.39999999999998</v>
      </c>
      <c r="R31" s="69">
        <f>ABS(SUMPRODUCT(dados!R:R,-(dados!$B:$B=$B31),-(dados!$C:$C&lt;=$C31)))</f>
        <v>335.5</v>
      </c>
      <c r="S31" s="69">
        <f>ABS(SUMPRODUCT(dados!S:S,-(dados!$B:$B=$B31),-(dados!$C:$C&lt;=$C31)))</f>
        <v>418.7</v>
      </c>
      <c r="T31" s="69">
        <f>ABS(SUMPRODUCT(dados!T:T,-(dados!$B:$B=$B31),-(dados!$C:$C&lt;=$C31)))</f>
        <v>20.900000000000002</v>
      </c>
      <c r="U31" s="69">
        <f>ABS(SUMPRODUCT(dados!U:U,-(dados!$B:$B=$B31),-(dados!$C:$C&lt;=$C31)))</f>
        <v>381.9</v>
      </c>
    </row>
    <row r="32" spans="1:21" x14ac:dyDescent="0.25">
      <c r="A32" t="str">
        <f>dados!A32</f>
        <v>20195</v>
      </c>
      <c r="B32">
        <f>dados!B32</f>
        <v>2019</v>
      </c>
      <c r="C32">
        <f>dados!C32</f>
        <v>5</v>
      </c>
      <c r="D32" s="16">
        <f>dados!D32</f>
        <v>43586</v>
      </c>
      <c r="E32" s="69">
        <f>ABS(SUMPRODUCT(dados!E:E,-(dados!$B:$B=$B32),-(dados!$C:$C&lt;=$C32)))</f>
        <v>457.90000000000003</v>
      </c>
      <c r="F32" s="69">
        <f>ABS(SUMPRODUCT(dados!F:F,-(dados!$B:$B=$B32),-(dados!$C:$C&lt;=$C32)))</f>
        <v>448.5</v>
      </c>
      <c r="G32" s="69">
        <f>ABS(SUMPRODUCT(dados!G:G,-(dados!$B:$B=$B32),-(dados!$C:$C&lt;=$C32)))</f>
        <v>547.20000000000005</v>
      </c>
      <c r="H32" s="69">
        <f>ABS(SUMPRODUCT(dados!H:H,-(dados!$B:$B=$B32),-(dados!$C:$C&lt;=$C32)))</f>
        <v>409.59999999999997</v>
      </c>
      <c r="I32" s="69">
        <f>ABS(SUMPRODUCT(dados!I:I,-(dados!$B:$B=$B32),-(dados!$C:$C&lt;=$C32)))</f>
        <v>453</v>
      </c>
      <c r="J32" s="69">
        <f>ABS(SUMPRODUCT(dados!J:J,-(dados!$B:$B=$B32),-(dados!$C:$C&lt;=$C32)))</f>
        <v>454.90000000000003</v>
      </c>
      <c r="K32" s="69">
        <f>ABS(SUMPRODUCT(dados!K:K,-(dados!$B:$B=$B32),-(dados!$C:$C&lt;=$C32)))</f>
        <v>288.79999999999995</v>
      </c>
      <c r="L32" s="69">
        <f>ABS(SUMPRODUCT(dados!L:L,-(dados!$B:$B=$B32),-(dados!$C:$C&lt;=$C32)))</f>
        <v>423.1</v>
      </c>
      <c r="M32" s="69">
        <f>ABS(SUMPRODUCT(dados!M:M,-(dados!$B:$B=$B32),-(dados!$C:$C&lt;=$C32)))</f>
        <v>314.90000000000003</v>
      </c>
      <c r="N32" s="69">
        <f>ABS(SUMPRODUCT(dados!N:N,-(dados!$B:$B=$B32),-(dados!$C:$C&lt;=$C32)))</f>
        <v>356.2</v>
      </c>
      <c r="O32" s="69">
        <f>ABS(SUMPRODUCT(dados!O:O,-(dados!$B:$B=$B32),-(dados!$C:$C&lt;=$C32)))</f>
        <v>504.9</v>
      </c>
      <c r="P32" s="69">
        <f>ABS(SUMPRODUCT(dados!P:P,-(dados!$B:$B=$B32),-(dados!$C:$C&lt;=$C32)))</f>
        <v>430.00000000000006</v>
      </c>
      <c r="Q32" s="69">
        <f>ABS(SUMPRODUCT(dados!Q:Q,-(dados!$B:$B=$B32),-(dados!$C:$C&lt;=$C32)))</f>
        <v>358.29999999999995</v>
      </c>
      <c r="R32" s="69">
        <f>ABS(SUMPRODUCT(dados!R:R,-(dados!$B:$B=$B32),-(dados!$C:$C&lt;=$C32)))</f>
        <v>432.2</v>
      </c>
      <c r="S32" s="69">
        <f>ABS(SUMPRODUCT(dados!S:S,-(dados!$B:$B=$B32),-(dados!$C:$C&lt;=$C32)))</f>
        <v>534.4</v>
      </c>
      <c r="T32" s="69">
        <f>ABS(SUMPRODUCT(dados!T:T,-(dados!$B:$B=$B32),-(dados!$C:$C&lt;=$C32)))</f>
        <v>26.6</v>
      </c>
      <c r="U32" s="69">
        <f>ABS(SUMPRODUCT(dados!U:U,-(dados!$B:$B=$B32),-(dados!$C:$C&lt;=$C32)))</f>
        <v>484.7</v>
      </c>
    </row>
    <row r="33" spans="1:21" x14ac:dyDescent="0.25">
      <c r="A33" t="str">
        <f>dados!A33</f>
        <v>20196</v>
      </c>
      <c r="B33">
        <f>dados!B33</f>
        <v>2019</v>
      </c>
      <c r="C33">
        <f>dados!C33</f>
        <v>6</v>
      </c>
      <c r="D33" s="16">
        <f>dados!D33</f>
        <v>43617</v>
      </c>
      <c r="E33" s="69">
        <f>ABS(SUMPRODUCT(dados!E:E,-(dados!$B:$B=$B33),-(dados!$C:$C&lt;=$C33)))</f>
        <v>547.40000000000009</v>
      </c>
      <c r="F33" s="69">
        <f>ABS(SUMPRODUCT(dados!F:F,-(dados!$B:$B=$B33),-(dados!$C:$C&lt;=$C33)))</f>
        <v>536.1</v>
      </c>
      <c r="G33" s="69">
        <f>ABS(SUMPRODUCT(dados!G:G,-(dados!$B:$B=$B33),-(dados!$C:$C&lt;=$C33)))</f>
        <v>652.70000000000005</v>
      </c>
      <c r="H33" s="69">
        <f>ABS(SUMPRODUCT(dados!H:H,-(dados!$B:$B=$B33),-(dados!$C:$C&lt;=$C33)))</f>
        <v>490.09999999999997</v>
      </c>
      <c r="I33" s="69">
        <f>ABS(SUMPRODUCT(dados!I:I,-(dados!$B:$B=$B33),-(dados!$C:$C&lt;=$C33)))</f>
        <v>520.79999999999995</v>
      </c>
      <c r="J33" s="69">
        <f>ABS(SUMPRODUCT(dados!J:J,-(dados!$B:$B=$B33),-(dados!$C:$C&lt;=$C33)))</f>
        <v>535.90000000000009</v>
      </c>
      <c r="K33" s="69">
        <f>ABS(SUMPRODUCT(dados!K:K,-(dados!$B:$B=$B33),-(dados!$C:$C&lt;=$C33)))</f>
        <v>404.59999999999997</v>
      </c>
      <c r="L33" s="69">
        <f>ABS(SUMPRODUCT(dados!L:L,-(dados!$B:$B=$B33),-(dados!$C:$C&lt;=$C33)))</f>
        <v>509.90000000000003</v>
      </c>
      <c r="M33" s="69">
        <f>ABS(SUMPRODUCT(dados!M:M,-(dados!$B:$B=$B33),-(dados!$C:$C&lt;=$C33)))</f>
        <v>372.6</v>
      </c>
      <c r="N33" s="69">
        <f>ABS(SUMPRODUCT(dados!N:N,-(dados!$B:$B=$B33),-(dados!$C:$C&lt;=$C33)))</f>
        <v>419.8</v>
      </c>
      <c r="O33" s="69">
        <f>ABS(SUMPRODUCT(dados!O:O,-(dados!$B:$B=$B33),-(dados!$C:$C&lt;=$C33)))</f>
        <v>601.79999999999995</v>
      </c>
      <c r="P33" s="69">
        <f>ABS(SUMPRODUCT(dados!P:P,-(dados!$B:$B=$B33),-(dados!$C:$C&lt;=$C33)))</f>
        <v>520.6</v>
      </c>
      <c r="Q33" s="69">
        <f>ABS(SUMPRODUCT(dados!Q:Q,-(dados!$B:$B=$B33),-(dados!$C:$C&lt;=$C33)))</f>
        <v>423.4</v>
      </c>
      <c r="R33" s="69">
        <f>ABS(SUMPRODUCT(dados!R:R,-(dados!$B:$B=$B33),-(dados!$C:$C&lt;=$C33)))</f>
        <v>530</v>
      </c>
      <c r="S33" s="69">
        <f>ABS(SUMPRODUCT(dados!S:S,-(dados!$B:$B=$B33),-(dados!$C:$C&lt;=$C33)))</f>
        <v>636.1</v>
      </c>
      <c r="T33" s="69">
        <f>ABS(SUMPRODUCT(dados!T:T,-(dados!$B:$B=$B33),-(dados!$C:$C&lt;=$C33)))</f>
        <v>33.4</v>
      </c>
      <c r="U33" s="69">
        <f>ABS(SUMPRODUCT(dados!U:U,-(dados!$B:$B=$B33),-(dados!$C:$C&lt;=$C33)))</f>
        <v>578.79999999999995</v>
      </c>
    </row>
    <row r="34" spans="1:21" x14ac:dyDescent="0.25">
      <c r="A34" t="str">
        <f>dados!A34</f>
        <v>20197</v>
      </c>
      <c r="B34">
        <f>dados!B34</f>
        <v>2019</v>
      </c>
      <c r="C34">
        <f>dados!C34</f>
        <v>7</v>
      </c>
      <c r="D34" s="16">
        <f>dados!D34</f>
        <v>43647</v>
      </c>
      <c r="E34" s="69">
        <f>ABS(SUMPRODUCT(dados!E:E,-(dados!$B:$B=$B34),-(dados!$C:$C&lt;=$C34)))</f>
        <v>643.00000000000011</v>
      </c>
      <c r="F34" s="69">
        <f>ABS(SUMPRODUCT(dados!F:F,-(dados!$B:$B=$B34),-(dados!$C:$C&lt;=$C34)))</f>
        <v>636.4</v>
      </c>
      <c r="G34" s="69">
        <f>ABS(SUMPRODUCT(dados!G:G,-(dados!$B:$B=$B34),-(dados!$C:$C&lt;=$C34)))</f>
        <v>777.6</v>
      </c>
      <c r="H34" s="69">
        <f>ABS(SUMPRODUCT(dados!H:H,-(dados!$B:$B=$B34),-(dados!$C:$C&lt;=$C34)))</f>
        <v>580.69999999999993</v>
      </c>
      <c r="I34" s="69">
        <f>ABS(SUMPRODUCT(dados!I:I,-(dados!$B:$B=$B34),-(dados!$C:$C&lt;=$C34)))</f>
        <v>612.79999999999995</v>
      </c>
      <c r="J34" s="69">
        <f>ABS(SUMPRODUCT(dados!J:J,-(dados!$B:$B=$B34),-(dados!$C:$C&lt;=$C34)))</f>
        <v>617.30000000000007</v>
      </c>
      <c r="K34" s="69">
        <f>ABS(SUMPRODUCT(dados!K:K,-(dados!$B:$B=$B34),-(dados!$C:$C&lt;=$C34)))</f>
        <v>523.19999999999993</v>
      </c>
      <c r="L34" s="69">
        <f>ABS(SUMPRODUCT(dados!L:L,-(dados!$B:$B=$B34),-(dados!$C:$C&lt;=$C34)))</f>
        <v>608.20000000000005</v>
      </c>
      <c r="M34" s="69">
        <f>ABS(SUMPRODUCT(dados!M:M,-(dados!$B:$B=$B34),-(dados!$C:$C&lt;=$C34)))</f>
        <v>448.6</v>
      </c>
      <c r="N34" s="69">
        <f>ABS(SUMPRODUCT(dados!N:N,-(dados!$B:$B=$B34),-(dados!$C:$C&lt;=$C34)))</f>
        <v>486.70000000000005</v>
      </c>
      <c r="O34" s="69">
        <f>ABS(SUMPRODUCT(dados!O:O,-(dados!$B:$B=$B34),-(dados!$C:$C&lt;=$C34)))</f>
        <v>705.9</v>
      </c>
      <c r="P34" s="69">
        <f>ABS(SUMPRODUCT(dados!P:P,-(dados!$B:$B=$B34),-(dados!$C:$C&lt;=$C34)))</f>
        <v>616</v>
      </c>
      <c r="Q34" s="69">
        <f>ABS(SUMPRODUCT(dados!Q:Q,-(dados!$B:$B=$B34),-(dados!$C:$C&lt;=$C34)))</f>
        <v>488.59999999999997</v>
      </c>
      <c r="R34" s="69">
        <f>ABS(SUMPRODUCT(dados!R:R,-(dados!$B:$B=$B34),-(dados!$C:$C&lt;=$C34)))</f>
        <v>631.79999999999995</v>
      </c>
      <c r="S34" s="69">
        <f>ABS(SUMPRODUCT(dados!S:S,-(dados!$B:$B=$B34),-(dados!$C:$C&lt;=$C34)))</f>
        <v>765.2</v>
      </c>
      <c r="T34" s="69">
        <f>ABS(SUMPRODUCT(dados!T:T,-(dados!$B:$B=$B34),-(dados!$C:$C&lt;=$C34)))</f>
        <v>43.599999999999994</v>
      </c>
      <c r="U34" s="69">
        <f>ABS(SUMPRODUCT(dados!U:U,-(dados!$B:$B=$B34),-(dados!$C:$C&lt;=$C34)))</f>
        <v>683.3</v>
      </c>
    </row>
    <row r="35" spans="1:21" x14ac:dyDescent="0.25">
      <c r="A35" t="str">
        <f>dados!A35</f>
        <v>20198</v>
      </c>
      <c r="B35">
        <f>dados!B35</f>
        <v>2019</v>
      </c>
      <c r="C35">
        <f>dados!C35</f>
        <v>8</v>
      </c>
      <c r="D35" s="16">
        <f>dados!D35</f>
        <v>43678</v>
      </c>
      <c r="E35" s="69">
        <f>ABS(SUMPRODUCT(dados!E:E,-(dados!$B:$B=$B35),-(dados!$C:$C&lt;=$C35)))</f>
        <v>739.90000000000009</v>
      </c>
      <c r="F35" s="69">
        <f>ABS(SUMPRODUCT(dados!F:F,-(dados!$B:$B=$B35),-(dados!$C:$C&lt;=$C35)))</f>
        <v>735.6</v>
      </c>
      <c r="G35" s="69">
        <f>ABS(SUMPRODUCT(dados!G:G,-(dados!$B:$B=$B35),-(dados!$C:$C&lt;=$C35)))</f>
        <v>912.6</v>
      </c>
      <c r="H35" s="69">
        <f>ABS(SUMPRODUCT(dados!H:H,-(dados!$B:$B=$B35),-(dados!$C:$C&lt;=$C35)))</f>
        <v>665.8</v>
      </c>
      <c r="I35" s="69">
        <f>ABS(SUMPRODUCT(dados!I:I,-(dados!$B:$B=$B35),-(dados!$C:$C&lt;=$C35)))</f>
        <v>702.09999999999991</v>
      </c>
      <c r="J35" s="69">
        <f>ABS(SUMPRODUCT(dados!J:J,-(dados!$B:$B=$B35),-(dados!$C:$C&lt;=$C35)))</f>
        <v>696.90000000000009</v>
      </c>
      <c r="K35" s="69">
        <f>ABS(SUMPRODUCT(dados!K:K,-(dados!$B:$B=$B35),-(dados!$C:$C&lt;=$C35)))</f>
        <v>590.19999999999993</v>
      </c>
      <c r="L35" s="69">
        <f>ABS(SUMPRODUCT(dados!L:L,-(dados!$B:$B=$B35),-(dados!$C:$C&lt;=$C35)))</f>
        <v>699.2</v>
      </c>
      <c r="M35" s="69">
        <f>ABS(SUMPRODUCT(dados!M:M,-(dados!$B:$B=$B35),-(dados!$C:$C&lt;=$C35)))</f>
        <v>535.20000000000005</v>
      </c>
      <c r="N35" s="69">
        <f>ABS(SUMPRODUCT(dados!N:N,-(dados!$B:$B=$B35),-(dados!$C:$C&lt;=$C35)))</f>
        <v>552.5</v>
      </c>
      <c r="O35" s="69">
        <f>ABS(SUMPRODUCT(dados!O:O,-(dados!$B:$B=$B35),-(dados!$C:$C&lt;=$C35)))</f>
        <v>811.5</v>
      </c>
      <c r="P35" s="69">
        <f>ABS(SUMPRODUCT(dados!P:P,-(dados!$B:$B=$B35),-(dados!$C:$C&lt;=$C35)))</f>
        <v>718.4</v>
      </c>
      <c r="Q35" s="69">
        <f>ABS(SUMPRODUCT(dados!Q:Q,-(dados!$B:$B=$B35),-(dados!$C:$C&lt;=$C35)))</f>
        <v>546.4</v>
      </c>
      <c r="R35" s="69">
        <f>ABS(SUMPRODUCT(dados!R:R,-(dados!$B:$B=$B35),-(dados!$C:$C&lt;=$C35)))</f>
        <v>729.9</v>
      </c>
      <c r="S35" s="69">
        <f>ABS(SUMPRODUCT(dados!S:S,-(dados!$B:$B=$B35),-(dados!$C:$C&lt;=$C35)))</f>
        <v>884.6</v>
      </c>
      <c r="T35" s="69">
        <f>ABS(SUMPRODUCT(dados!T:T,-(dados!$B:$B=$B35),-(dados!$C:$C&lt;=$C35)))</f>
        <v>54.899999999999991</v>
      </c>
      <c r="U35" s="69">
        <f>ABS(SUMPRODUCT(dados!U:U,-(dados!$B:$B=$B35),-(dados!$C:$C&lt;=$C35)))</f>
        <v>781.19999999999993</v>
      </c>
    </row>
    <row r="36" spans="1:21" x14ac:dyDescent="0.25">
      <c r="A36" t="str">
        <f>dados!A36</f>
        <v>20199</v>
      </c>
      <c r="B36">
        <f>dados!B36</f>
        <v>2019</v>
      </c>
      <c r="C36">
        <f>dados!C36</f>
        <v>9</v>
      </c>
      <c r="D36" s="16">
        <f>dados!D36</f>
        <v>43709</v>
      </c>
      <c r="E36" s="69">
        <f>ABS(SUMPRODUCT(dados!E:E,-(dados!$B:$B=$B36),-(dados!$C:$C&lt;=$C36)))</f>
        <v>836.2</v>
      </c>
      <c r="F36" s="69">
        <f>ABS(SUMPRODUCT(dados!F:F,-(dados!$B:$B=$B36),-(dados!$C:$C&lt;=$C36)))</f>
        <v>832.7</v>
      </c>
      <c r="G36" s="69">
        <f>ABS(SUMPRODUCT(dados!G:G,-(dados!$B:$B=$B36),-(dados!$C:$C&lt;=$C36)))</f>
        <v>1039.5999999999999</v>
      </c>
      <c r="H36" s="69">
        <f>ABS(SUMPRODUCT(dados!H:H,-(dados!$B:$B=$B36),-(dados!$C:$C&lt;=$C36)))</f>
        <v>751.19999999999993</v>
      </c>
      <c r="I36" s="69">
        <f>ABS(SUMPRODUCT(dados!I:I,-(dados!$B:$B=$B36),-(dados!$C:$C&lt;=$C36)))</f>
        <v>796.09999999999991</v>
      </c>
      <c r="J36" s="69">
        <f>ABS(SUMPRODUCT(dados!J:J,-(dados!$B:$B=$B36),-(dados!$C:$C&lt;=$C36)))</f>
        <v>780.40000000000009</v>
      </c>
      <c r="K36" s="69">
        <f>ABS(SUMPRODUCT(dados!K:K,-(dados!$B:$B=$B36),-(dados!$C:$C&lt;=$C36)))</f>
        <v>657.59999999999991</v>
      </c>
      <c r="L36" s="69">
        <f>ABS(SUMPRODUCT(dados!L:L,-(dados!$B:$B=$B36),-(dados!$C:$C&lt;=$C36)))</f>
        <v>789.7</v>
      </c>
      <c r="M36" s="69">
        <f>ABS(SUMPRODUCT(dados!M:M,-(dados!$B:$B=$B36),-(dados!$C:$C&lt;=$C36)))</f>
        <v>630.20000000000005</v>
      </c>
      <c r="N36" s="69">
        <f>ABS(SUMPRODUCT(dados!N:N,-(dados!$B:$B=$B36),-(dados!$C:$C&lt;=$C36)))</f>
        <v>616.9</v>
      </c>
      <c r="O36" s="69">
        <f>ABS(SUMPRODUCT(dados!O:O,-(dados!$B:$B=$B36),-(dados!$C:$C&lt;=$C36)))</f>
        <v>912.9</v>
      </c>
      <c r="P36" s="69">
        <f>ABS(SUMPRODUCT(dados!P:P,-(dados!$B:$B=$B36),-(dados!$C:$C&lt;=$C36)))</f>
        <v>811.8</v>
      </c>
      <c r="Q36" s="69">
        <f>ABS(SUMPRODUCT(dados!Q:Q,-(dados!$B:$B=$B36),-(dados!$C:$C&lt;=$C36)))</f>
        <v>609.6</v>
      </c>
      <c r="R36" s="69">
        <f>ABS(SUMPRODUCT(dados!R:R,-(dados!$B:$B=$B36),-(dados!$C:$C&lt;=$C36)))</f>
        <v>819.9</v>
      </c>
      <c r="S36" s="69">
        <f>ABS(SUMPRODUCT(dados!S:S,-(dados!$B:$B=$B36),-(dados!$C:$C&lt;=$C36)))</f>
        <v>999.2</v>
      </c>
      <c r="T36" s="69">
        <f>ABS(SUMPRODUCT(dados!T:T,-(dados!$B:$B=$B36),-(dados!$C:$C&lt;=$C36)))</f>
        <v>65.699999999999989</v>
      </c>
      <c r="U36" s="69">
        <f>ABS(SUMPRODUCT(dados!U:U,-(dados!$B:$B=$B36),-(dados!$C:$C&lt;=$C36)))</f>
        <v>874.9</v>
      </c>
    </row>
    <row r="37" spans="1:21" x14ac:dyDescent="0.25">
      <c r="A37" t="str">
        <f>dados!A37</f>
        <v>201910</v>
      </c>
      <c r="B37">
        <f>dados!B37</f>
        <v>2019</v>
      </c>
      <c r="C37">
        <f>dados!C37</f>
        <v>10</v>
      </c>
      <c r="D37" s="16">
        <f>dados!D37</f>
        <v>43739</v>
      </c>
      <c r="E37" s="69">
        <f>ABS(SUMPRODUCT(dados!E:E,-(dados!$B:$B=$B37),-(dados!$C:$C&lt;=$C37)))</f>
        <v>933.30000000000007</v>
      </c>
      <c r="F37" s="69">
        <f>ABS(SUMPRODUCT(dados!F:F,-(dados!$B:$B=$B37),-(dados!$C:$C&lt;=$C37)))</f>
        <v>936.80000000000007</v>
      </c>
      <c r="G37" s="69">
        <f>ABS(SUMPRODUCT(dados!G:G,-(dados!$B:$B=$B37),-(dados!$C:$C&lt;=$C37)))</f>
        <v>1171.8</v>
      </c>
      <c r="H37" s="69">
        <f>ABS(SUMPRODUCT(dados!H:H,-(dados!$B:$B=$B37),-(dados!$C:$C&lt;=$C37)))</f>
        <v>844.19999999999993</v>
      </c>
      <c r="I37" s="69">
        <f>ABS(SUMPRODUCT(dados!I:I,-(dados!$B:$B=$B37),-(dados!$C:$C&lt;=$C37)))</f>
        <v>908.3</v>
      </c>
      <c r="J37" s="69">
        <f>ABS(SUMPRODUCT(dados!J:J,-(dados!$B:$B=$B37),-(dados!$C:$C&lt;=$C37)))</f>
        <v>877.60000000000014</v>
      </c>
      <c r="K37" s="69">
        <f>ABS(SUMPRODUCT(dados!K:K,-(dados!$B:$B=$B37),-(dados!$C:$C&lt;=$C37)))</f>
        <v>721.89999999999986</v>
      </c>
      <c r="L37" s="69">
        <f>ABS(SUMPRODUCT(dados!L:L,-(dados!$B:$B=$B37),-(dados!$C:$C&lt;=$C37)))</f>
        <v>892</v>
      </c>
      <c r="M37" s="69">
        <f>ABS(SUMPRODUCT(dados!M:M,-(dados!$B:$B=$B37),-(dados!$C:$C&lt;=$C37)))</f>
        <v>712.30000000000007</v>
      </c>
      <c r="N37" s="69">
        <f>ABS(SUMPRODUCT(dados!N:N,-(dados!$B:$B=$B37),-(dados!$C:$C&lt;=$C37)))</f>
        <v>682</v>
      </c>
      <c r="O37" s="69">
        <f>ABS(SUMPRODUCT(dados!O:O,-(dados!$B:$B=$B37),-(dados!$C:$C&lt;=$C37)))</f>
        <v>1015.4</v>
      </c>
      <c r="P37" s="69">
        <f>ABS(SUMPRODUCT(dados!P:P,-(dados!$B:$B=$B37),-(dados!$C:$C&lt;=$C37)))</f>
        <v>915.09999999999991</v>
      </c>
      <c r="Q37" s="69">
        <f>ABS(SUMPRODUCT(dados!Q:Q,-(dados!$B:$B=$B37),-(dados!$C:$C&lt;=$C37)))</f>
        <v>673.6</v>
      </c>
      <c r="R37" s="69">
        <f>ABS(SUMPRODUCT(dados!R:R,-(dados!$B:$B=$B37),-(dados!$C:$C&lt;=$C37)))</f>
        <v>916.69999999999993</v>
      </c>
      <c r="S37" s="69">
        <f>ABS(SUMPRODUCT(dados!S:S,-(dados!$B:$B=$B37),-(dados!$C:$C&lt;=$C37)))</f>
        <v>1131.3</v>
      </c>
      <c r="T37" s="69">
        <f>ABS(SUMPRODUCT(dados!T:T,-(dados!$B:$B=$B37),-(dados!$C:$C&lt;=$C37)))</f>
        <v>77.599999999999994</v>
      </c>
      <c r="U37" s="69">
        <f>ABS(SUMPRODUCT(dados!U:U,-(dados!$B:$B=$B37),-(dados!$C:$C&lt;=$C37)))</f>
        <v>976.8</v>
      </c>
    </row>
    <row r="38" spans="1:21" x14ac:dyDescent="0.25">
      <c r="A38" t="str">
        <f>dados!A38</f>
        <v>201911</v>
      </c>
      <c r="B38">
        <f>dados!B38</f>
        <v>2019</v>
      </c>
      <c r="C38">
        <f>dados!C38</f>
        <v>11</v>
      </c>
      <c r="D38" s="16">
        <f>dados!D38</f>
        <v>43770</v>
      </c>
      <c r="E38" s="69">
        <f>ABS(SUMPRODUCT(dados!E:E,-(dados!$B:$B=$B38),-(dados!$C:$C&lt;=$C38)))</f>
        <v>1034.3000000000002</v>
      </c>
      <c r="F38" s="69">
        <f>ABS(SUMPRODUCT(dados!F:F,-(dados!$B:$B=$B38),-(dados!$C:$C&lt;=$C38)))</f>
        <v>1040.4000000000001</v>
      </c>
      <c r="G38" s="69">
        <f>ABS(SUMPRODUCT(dados!G:G,-(dados!$B:$B=$B38),-(dados!$C:$C&lt;=$C38)))</f>
        <v>1311.2</v>
      </c>
      <c r="H38" s="69">
        <f>ABS(SUMPRODUCT(dados!H:H,-(dados!$B:$B=$B38),-(dados!$C:$C&lt;=$C38)))</f>
        <v>933.59999999999991</v>
      </c>
      <c r="I38" s="69">
        <f>ABS(SUMPRODUCT(dados!I:I,-(dados!$B:$B=$B38),-(dados!$C:$C&lt;=$C38)))</f>
        <v>1005.5999999999999</v>
      </c>
      <c r="J38" s="69">
        <f>ABS(SUMPRODUCT(dados!J:J,-(dados!$B:$B=$B38),-(dados!$C:$C&lt;=$C38)))</f>
        <v>977.20000000000016</v>
      </c>
      <c r="K38" s="69">
        <f>ABS(SUMPRODUCT(dados!K:K,-(dados!$B:$B=$B38),-(dados!$C:$C&lt;=$C38)))</f>
        <v>762.79999999999984</v>
      </c>
      <c r="L38" s="69">
        <f>ABS(SUMPRODUCT(dados!L:L,-(dados!$B:$B=$B38),-(dados!$C:$C&lt;=$C38)))</f>
        <v>997.9</v>
      </c>
      <c r="M38" s="69">
        <f>ABS(SUMPRODUCT(dados!M:M,-(dados!$B:$B=$B38),-(dados!$C:$C&lt;=$C38)))</f>
        <v>784.7</v>
      </c>
      <c r="N38" s="69">
        <f>ABS(SUMPRODUCT(dados!N:N,-(dados!$B:$B=$B38),-(dados!$C:$C&lt;=$C38)))</f>
        <v>748.4</v>
      </c>
      <c r="O38" s="69">
        <f>ABS(SUMPRODUCT(dados!O:O,-(dados!$B:$B=$B38),-(dados!$C:$C&lt;=$C38)))</f>
        <v>1113.5999999999999</v>
      </c>
      <c r="P38" s="69">
        <f>ABS(SUMPRODUCT(dados!P:P,-(dados!$B:$B=$B38),-(dados!$C:$C&lt;=$C38)))</f>
        <v>1015.1999999999999</v>
      </c>
      <c r="Q38" s="69">
        <f>ABS(SUMPRODUCT(dados!Q:Q,-(dados!$B:$B=$B38),-(dados!$C:$C&lt;=$C38)))</f>
        <v>744.4</v>
      </c>
      <c r="R38" s="69">
        <f>ABS(SUMPRODUCT(dados!R:R,-(dados!$B:$B=$B38),-(dados!$C:$C&lt;=$C38)))</f>
        <v>999.3</v>
      </c>
      <c r="S38" s="69">
        <f>ABS(SUMPRODUCT(dados!S:S,-(dados!$B:$B=$B38),-(dados!$C:$C&lt;=$C38)))</f>
        <v>1226.3</v>
      </c>
      <c r="T38" s="69">
        <f>ABS(SUMPRODUCT(dados!T:T,-(dados!$B:$B=$B38),-(dados!$C:$C&lt;=$C38)))</f>
        <v>88.3</v>
      </c>
      <c r="U38" s="69">
        <f>ABS(SUMPRODUCT(dados!U:U,-(dados!$B:$B=$B38),-(dados!$C:$C&lt;=$C38)))</f>
        <v>1069.7</v>
      </c>
    </row>
    <row r="39" spans="1:21" x14ac:dyDescent="0.25">
      <c r="A39" t="str">
        <f>dados!A39</f>
        <v>201912</v>
      </c>
      <c r="B39">
        <f>dados!B39</f>
        <v>2019</v>
      </c>
      <c r="C39">
        <f>dados!C39</f>
        <v>12</v>
      </c>
      <c r="D39" s="16">
        <f>dados!D39</f>
        <v>43800</v>
      </c>
      <c r="E39" s="69">
        <f>ABS(SUMPRODUCT(dados!E:E,-(dados!$B:$B=$B39),-(dados!$C:$C&lt;=$C39)))</f>
        <v>1131.4000000000001</v>
      </c>
      <c r="F39" s="69">
        <f>ABS(SUMPRODUCT(dados!F:F,-(dados!$B:$B=$B39),-(dados!$C:$C&lt;=$C39)))</f>
        <v>1138.9000000000001</v>
      </c>
      <c r="G39" s="69">
        <f>ABS(SUMPRODUCT(dados!G:G,-(dados!$B:$B=$B39),-(dados!$C:$C&lt;=$C39)))</f>
        <v>1456.6000000000001</v>
      </c>
      <c r="H39" s="69">
        <f>ABS(SUMPRODUCT(dados!H:H,-(dados!$B:$B=$B39),-(dados!$C:$C&lt;=$C39)))</f>
        <v>1013.5999999999999</v>
      </c>
      <c r="I39" s="69">
        <f>ABS(SUMPRODUCT(dados!I:I,-(dados!$B:$B=$B39),-(dados!$C:$C&lt;=$C39)))</f>
        <v>1080.5999999999999</v>
      </c>
      <c r="J39" s="69">
        <f>ABS(SUMPRODUCT(dados!J:J,-(dados!$B:$B=$B39),-(dados!$C:$C&lt;=$C39)))</f>
        <v>1091.2000000000003</v>
      </c>
      <c r="K39" s="69">
        <f>ABS(SUMPRODUCT(dados!K:K,-(dados!$B:$B=$B39),-(dados!$C:$C&lt;=$C39)))</f>
        <v>823.0999999999998</v>
      </c>
      <c r="L39" s="69">
        <f>ABS(SUMPRODUCT(dados!L:L,-(dados!$B:$B=$B39),-(dados!$C:$C&lt;=$C39)))</f>
        <v>1092.5</v>
      </c>
      <c r="M39" s="69">
        <f>ABS(SUMPRODUCT(dados!M:M,-(dados!$B:$B=$B39),-(dados!$C:$C&lt;=$C39)))</f>
        <v>836.40000000000009</v>
      </c>
      <c r="N39" s="69">
        <f>ABS(SUMPRODUCT(dados!N:N,-(dados!$B:$B=$B39),-(dados!$C:$C&lt;=$C39)))</f>
        <v>811.9</v>
      </c>
      <c r="O39" s="69">
        <f>ABS(SUMPRODUCT(dados!O:O,-(dados!$B:$B=$B39),-(dados!$C:$C&lt;=$C39)))</f>
        <v>1186.0999999999999</v>
      </c>
      <c r="P39" s="69">
        <f>ABS(SUMPRODUCT(dados!P:P,-(dados!$B:$B=$B39),-(dados!$C:$C&lt;=$C39)))</f>
        <v>1112.0999999999999</v>
      </c>
      <c r="Q39" s="69">
        <f>ABS(SUMPRODUCT(dados!Q:Q,-(dados!$B:$B=$B39),-(dados!$C:$C&lt;=$C39)))</f>
        <v>816.8</v>
      </c>
      <c r="R39" s="69">
        <f>ABS(SUMPRODUCT(dados!R:R,-(dados!$B:$B=$B39),-(dados!$C:$C&lt;=$C39)))</f>
        <v>1082.5</v>
      </c>
      <c r="S39" s="69">
        <f>ABS(SUMPRODUCT(dados!S:S,-(dados!$B:$B=$B39),-(dados!$C:$C&lt;=$C39)))</f>
        <v>1287.8</v>
      </c>
      <c r="T39" s="69">
        <f>ABS(SUMPRODUCT(dados!T:T,-(dados!$B:$B=$B39),-(dados!$C:$C&lt;=$C39)))</f>
        <v>96.3</v>
      </c>
      <c r="U39" s="69">
        <f>ABS(SUMPRODUCT(dados!U:U,-(dados!$B:$B=$B39),-(dados!$C:$C&lt;=$C39)))</f>
        <v>1155.9000000000001</v>
      </c>
    </row>
    <row r="40" spans="1:21" x14ac:dyDescent="0.25">
      <c r="A40" t="str">
        <f>dados!A40</f>
        <v>19001</v>
      </c>
      <c r="B40">
        <f>dados!B40</f>
        <v>1900</v>
      </c>
      <c r="C40">
        <f>dados!C40</f>
        <v>1</v>
      </c>
      <c r="D40" s="16">
        <f>dados!D40</f>
        <v>0</v>
      </c>
      <c r="E40" s="69">
        <f>ABS(SUMPRODUCT(dados!E:E,-(dados!$B:$B=$B40),-(dados!$C:$C&lt;=$C40)))</f>
        <v>0</v>
      </c>
      <c r="F40" s="69">
        <f>ABS(SUMPRODUCT(dados!F:F,-(dados!$B:$B=$B40),-(dados!$C:$C&lt;=$C40)))</f>
        <v>0</v>
      </c>
      <c r="G40" s="69">
        <f>ABS(SUMPRODUCT(dados!G:G,-(dados!$B:$B=$B40),-(dados!$C:$C&lt;=$C40)))</f>
        <v>0</v>
      </c>
      <c r="H40" s="69">
        <f>ABS(SUMPRODUCT(dados!H:H,-(dados!$B:$B=$B40),-(dados!$C:$C&lt;=$C40)))</f>
        <v>0</v>
      </c>
      <c r="I40" s="69">
        <f>ABS(SUMPRODUCT(dados!I:I,-(dados!$B:$B=$B40),-(dados!$C:$C&lt;=$C40)))</f>
        <v>0</v>
      </c>
      <c r="J40" s="69">
        <f>ABS(SUMPRODUCT(dados!J:J,-(dados!$B:$B=$B40),-(dados!$C:$C&lt;=$C40)))</f>
        <v>0</v>
      </c>
      <c r="K40" s="69">
        <f>ABS(SUMPRODUCT(dados!K:K,-(dados!$B:$B=$B40),-(dados!$C:$C&lt;=$C40)))</f>
        <v>0</v>
      </c>
      <c r="L40" s="69">
        <f>ABS(SUMPRODUCT(dados!L:L,-(dados!$B:$B=$B40),-(dados!$C:$C&lt;=$C40)))</f>
        <v>0</v>
      </c>
      <c r="M40" s="69">
        <f>ABS(SUMPRODUCT(dados!M:M,-(dados!$B:$B=$B40),-(dados!$C:$C&lt;=$C40)))</f>
        <v>0</v>
      </c>
      <c r="N40" s="69">
        <f>ABS(SUMPRODUCT(dados!N:N,-(dados!$B:$B=$B40),-(dados!$C:$C&lt;=$C40)))</f>
        <v>0</v>
      </c>
      <c r="O40" s="69">
        <f>ABS(SUMPRODUCT(dados!O:O,-(dados!$B:$B=$B40),-(dados!$C:$C&lt;=$C40)))</f>
        <v>0</v>
      </c>
      <c r="P40" s="69">
        <f>ABS(SUMPRODUCT(dados!P:P,-(dados!$B:$B=$B40),-(dados!$C:$C&lt;=$C40)))</f>
        <v>0</v>
      </c>
      <c r="Q40" s="69">
        <f>ABS(SUMPRODUCT(dados!Q:Q,-(dados!$B:$B=$B40),-(dados!$C:$C&lt;=$C40)))</f>
        <v>0</v>
      </c>
      <c r="R40" s="69">
        <f>ABS(SUMPRODUCT(dados!R:R,-(dados!$B:$B=$B40),-(dados!$C:$C&lt;=$C40)))</f>
        <v>0</v>
      </c>
      <c r="S40" s="69">
        <f>ABS(SUMPRODUCT(dados!S:S,-(dados!$B:$B=$B40),-(dados!$C:$C&lt;=$C40)))</f>
        <v>0</v>
      </c>
      <c r="T40" s="69">
        <f>ABS(SUMPRODUCT(dados!T:T,-(dados!$B:$B=$B40),-(dados!$C:$C&lt;=$C40)))</f>
        <v>0</v>
      </c>
      <c r="U40" s="69">
        <f>ABS(SUMPRODUCT(dados!U:U,-(dados!$B:$B=$B40),-(dados!$C:$C&lt;=$C40)))</f>
        <v>0</v>
      </c>
    </row>
    <row r="41" spans="1:21" x14ac:dyDescent="0.25">
      <c r="A41" t="str">
        <f>dados!A41</f>
        <v>19001</v>
      </c>
      <c r="B41">
        <f>dados!B41</f>
        <v>1900</v>
      </c>
      <c r="C41">
        <f>dados!C41</f>
        <v>1</v>
      </c>
      <c r="D41" s="16">
        <f>dados!D41</f>
        <v>0</v>
      </c>
      <c r="E41" s="69">
        <f>ABS(SUMPRODUCT(dados!E:E,-(dados!$B:$B=$B41),-(dados!$C:$C&lt;=$C41)))</f>
        <v>0</v>
      </c>
      <c r="F41" s="69">
        <f>ABS(SUMPRODUCT(dados!F:F,-(dados!$B:$B=$B41),-(dados!$C:$C&lt;=$C41)))</f>
        <v>0</v>
      </c>
      <c r="G41" s="69">
        <f>ABS(SUMPRODUCT(dados!G:G,-(dados!$B:$B=$B41),-(dados!$C:$C&lt;=$C41)))</f>
        <v>0</v>
      </c>
      <c r="H41" s="69">
        <f>ABS(SUMPRODUCT(dados!H:H,-(dados!$B:$B=$B41),-(dados!$C:$C&lt;=$C41)))</f>
        <v>0</v>
      </c>
      <c r="I41" s="69">
        <f>ABS(SUMPRODUCT(dados!I:I,-(dados!$B:$B=$B41),-(dados!$C:$C&lt;=$C41)))</f>
        <v>0</v>
      </c>
      <c r="J41" s="69">
        <f>ABS(SUMPRODUCT(dados!J:J,-(dados!$B:$B=$B41),-(dados!$C:$C&lt;=$C41)))</f>
        <v>0</v>
      </c>
      <c r="K41" s="69">
        <f>ABS(SUMPRODUCT(dados!K:K,-(dados!$B:$B=$B41),-(dados!$C:$C&lt;=$C41)))</f>
        <v>0</v>
      </c>
      <c r="L41" s="69">
        <f>ABS(SUMPRODUCT(dados!L:L,-(dados!$B:$B=$B41),-(dados!$C:$C&lt;=$C41)))</f>
        <v>0</v>
      </c>
      <c r="M41" s="69">
        <f>ABS(SUMPRODUCT(dados!M:M,-(dados!$B:$B=$B41),-(dados!$C:$C&lt;=$C41)))</f>
        <v>0</v>
      </c>
      <c r="N41" s="69">
        <f>ABS(SUMPRODUCT(dados!N:N,-(dados!$B:$B=$B41),-(dados!$C:$C&lt;=$C41)))</f>
        <v>0</v>
      </c>
      <c r="O41" s="69">
        <f>ABS(SUMPRODUCT(dados!O:O,-(dados!$B:$B=$B41),-(dados!$C:$C&lt;=$C41)))</f>
        <v>0</v>
      </c>
      <c r="P41" s="69">
        <f>ABS(SUMPRODUCT(dados!P:P,-(dados!$B:$B=$B41),-(dados!$C:$C&lt;=$C41)))</f>
        <v>0</v>
      </c>
      <c r="Q41" s="69">
        <f>ABS(SUMPRODUCT(dados!Q:Q,-(dados!$B:$B=$B41),-(dados!$C:$C&lt;=$C41)))</f>
        <v>0</v>
      </c>
      <c r="R41" s="69">
        <f>ABS(SUMPRODUCT(dados!R:R,-(dados!$B:$B=$B41),-(dados!$C:$C&lt;=$C41)))</f>
        <v>0</v>
      </c>
      <c r="S41" s="69">
        <f>ABS(SUMPRODUCT(dados!S:S,-(dados!$B:$B=$B41),-(dados!$C:$C&lt;=$C41)))</f>
        <v>0</v>
      </c>
      <c r="T41" s="69">
        <f>ABS(SUMPRODUCT(dados!T:T,-(dados!$B:$B=$B41),-(dados!$C:$C&lt;=$C41)))</f>
        <v>0</v>
      </c>
      <c r="U41" s="69">
        <f>ABS(SUMPRODUCT(dados!U:U,-(dados!$B:$B=$B41),-(dados!$C:$C&lt;=$C41)))</f>
        <v>0</v>
      </c>
    </row>
    <row r="42" spans="1:21" x14ac:dyDescent="0.25">
      <c r="A42" t="str">
        <f>dados!A42</f>
        <v>19001</v>
      </c>
      <c r="B42">
        <f>dados!B42</f>
        <v>1900</v>
      </c>
      <c r="C42">
        <f>dados!C42</f>
        <v>1</v>
      </c>
      <c r="D42" s="16">
        <f>dados!D42</f>
        <v>0</v>
      </c>
      <c r="E42" s="69">
        <f>ABS(SUMPRODUCT(dados!E:E,-(dados!$B:$B=$B42),-(dados!$C:$C&lt;=$C42)))</f>
        <v>0</v>
      </c>
      <c r="F42" s="69">
        <f>ABS(SUMPRODUCT(dados!F:F,-(dados!$B:$B=$B42),-(dados!$C:$C&lt;=$C42)))</f>
        <v>0</v>
      </c>
      <c r="G42" s="69">
        <f>ABS(SUMPRODUCT(dados!G:G,-(dados!$B:$B=$B42),-(dados!$C:$C&lt;=$C42)))</f>
        <v>0</v>
      </c>
      <c r="H42" s="69">
        <f>ABS(SUMPRODUCT(dados!H:H,-(dados!$B:$B=$B42),-(dados!$C:$C&lt;=$C42)))</f>
        <v>0</v>
      </c>
      <c r="I42" s="69">
        <f>ABS(SUMPRODUCT(dados!I:I,-(dados!$B:$B=$B42),-(dados!$C:$C&lt;=$C42)))</f>
        <v>0</v>
      </c>
      <c r="J42" s="69">
        <f>ABS(SUMPRODUCT(dados!J:J,-(dados!$B:$B=$B42),-(dados!$C:$C&lt;=$C42)))</f>
        <v>0</v>
      </c>
      <c r="K42" s="69">
        <f>ABS(SUMPRODUCT(dados!K:K,-(dados!$B:$B=$B42),-(dados!$C:$C&lt;=$C42)))</f>
        <v>0</v>
      </c>
      <c r="L42" s="69">
        <f>ABS(SUMPRODUCT(dados!L:L,-(dados!$B:$B=$B42),-(dados!$C:$C&lt;=$C42)))</f>
        <v>0</v>
      </c>
      <c r="M42" s="69">
        <f>ABS(SUMPRODUCT(dados!M:M,-(dados!$B:$B=$B42),-(dados!$C:$C&lt;=$C42)))</f>
        <v>0</v>
      </c>
      <c r="N42" s="69">
        <f>ABS(SUMPRODUCT(dados!N:N,-(dados!$B:$B=$B42),-(dados!$C:$C&lt;=$C42)))</f>
        <v>0</v>
      </c>
      <c r="O42" s="69">
        <f>ABS(SUMPRODUCT(dados!O:O,-(dados!$B:$B=$B42),-(dados!$C:$C&lt;=$C42)))</f>
        <v>0</v>
      </c>
      <c r="P42" s="69">
        <f>ABS(SUMPRODUCT(dados!P:P,-(dados!$B:$B=$B42),-(dados!$C:$C&lt;=$C42)))</f>
        <v>0</v>
      </c>
      <c r="Q42" s="69">
        <f>ABS(SUMPRODUCT(dados!Q:Q,-(dados!$B:$B=$B42),-(dados!$C:$C&lt;=$C42)))</f>
        <v>0</v>
      </c>
      <c r="R42" s="69">
        <f>ABS(SUMPRODUCT(dados!R:R,-(dados!$B:$B=$B42),-(dados!$C:$C&lt;=$C42)))</f>
        <v>0</v>
      </c>
      <c r="S42" s="69">
        <f>ABS(SUMPRODUCT(dados!S:S,-(dados!$B:$B=$B42),-(dados!$C:$C&lt;=$C42)))</f>
        <v>0</v>
      </c>
      <c r="T42" s="69">
        <f>ABS(SUMPRODUCT(dados!T:T,-(dados!$B:$B=$B42),-(dados!$C:$C&lt;=$C42)))</f>
        <v>0</v>
      </c>
      <c r="U42" s="69">
        <f>ABS(SUMPRODUCT(dados!U:U,-(dados!$B:$B=$B42),-(dados!$C:$C&lt;=$C42)))</f>
        <v>0</v>
      </c>
    </row>
    <row r="43" spans="1:21" x14ac:dyDescent="0.25">
      <c r="A43" t="str">
        <f>dados!A43</f>
        <v>19001</v>
      </c>
      <c r="B43">
        <f>dados!B43</f>
        <v>1900</v>
      </c>
      <c r="C43">
        <f>dados!C43</f>
        <v>1</v>
      </c>
      <c r="D43" s="16">
        <f>dados!D43</f>
        <v>0</v>
      </c>
      <c r="E43" s="69">
        <f>ABS(SUMPRODUCT(dados!E:E,-(dados!$B:$B=$B43),-(dados!$C:$C&lt;=$C43)))</f>
        <v>0</v>
      </c>
      <c r="F43" s="69">
        <f>ABS(SUMPRODUCT(dados!F:F,-(dados!$B:$B=$B43),-(dados!$C:$C&lt;=$C43)))</f>
        <v>0</v>
      </c>
      <c r="G43" s="69">
        <f>ABS(SUMPRODUCT(dados!G:G,-(dados!$B:$B=$B43),-(dados!$C:$C&lt;=$C43)))</f>
        <v>0</v>
      </c>
      <c r="H43" s="69">
        <f>ABS(SUMPRODUCT(dados!H:H,-(dados!$B:$B=$B43),-(dados!$C:$C&lt;=$C43)))</f>
        <v>0</v>
      </c>
      <c r="I43" s="69">
        <f>ABS(SUMPRODUCT(dados!I:I,-(dados!$B:$B=$B43),-(dados!$C:$C&lt;=$C43)))</f>
        <v>0</v>
      </c>
      <c r="J43" s="69">
        <f>ABS(SUMPRODUCT(dados!J:J,-(dados!$B:$B=$B43),-(dados!$C:$C&lt;=$C43)))</f>
        <v>0</v>
      </c>
      <c r="K43" s="69">
        <f>ABS(SUMPRODUCT(dados!K:K,-(dados!$B:$B=$B43),-(dados!$C:$C&lt;=$C43)))</f>
        <v>0</v>
      </c>
      <c r="L43" s="69">
        <f>ABS(SUMPRODUCT(dados!L:L,-(dados!$B:$B=$B43),-(dados!$C:$C&lt;=$C43)))</f>
        <v>0</v>
      </c>
      <c r="M43" s="69">
        <f>ABS(SUMPRODUCT(dados!M:M,-(dados!$B:$B=$B43),-(dados!$C:$C&lt;=$C43)))</f>
        <v>0</v>
      </c>
      <c r="N43" s="69">
        <f>ABS(SUMPRODUCT(dados!N:N,-(dados!$B:$B=$B43),-(dados!$C:$C&lt;=$C43)))</f>
        <v>0</v>
      </c>
      <c r="O43" s="69">
        <f>ABS(SUMPRODUCT(dados!O:O,-(dados!$B:$B=$B43),-(dados!$C:$C&lt;=$C43)))</f>
        <v>0</v>
      </c>
      <c r="P43" s="69">
        <f>ABS(SUMPRODUCT(dados!P:P,-(dados!$B:$B=$B43),-(dados!$C:$C&lt;=$C43)))</f>
        <v>0</v>
      </c>
      <c r="Q43" s="69">
        <f>ABS(SUMPRODUCT(dados!Q:Q,-(dados!$B:$B=$B43),-(dados!$C:$C&lt;=$C43)))</f>
        <v>0</v>
      </c>
      <c r="R43" s="69">
        <f>ABS(SUMPRODUCT(dados!R:R,-(dados!$B:$B=$B43),-(dados!$C:$C&lt;=$C43)))</f>
        <v>0</v>
      </c>
      <c r="S43" s="69">
        <f>ABS(SUMPRODUCT(dados!S:S,-(dados!$B:$B=$B43),-(dados!$C:$C&lt;=$C43)))</f>
        <v>0</v>
      </c>
      <c r="T43" s="69">
        <f>ABS(SUMPRODUCT(dados!T:T,-(dados!$B:$B=$B43),-(dados!$C:$C&lt;=$C43)))</f>
        <v>0</v>
      </c>
      <c r="U43" s="69">
        <f>ABS(SUMPRODUCT(dados!U:U,-(dados!$B:$B=$B43),-(dados!$C:$C&lt;=$C43)))</f>
        <v>0</v>
      </c>
    </row>
    <row r="44" spans="1:21" x14ac:dyDescent="0.25">
      <c r="A44" t="str">
        <f>dados!A44</f>
        <v>19001</v>
      </c>
      <c r="B44">
        <f>dados!B44</f>
        <v>1900</v>
      </c>
      <c r="C44">
        <f>dados!C44</f>
        <v>1</v>
      </c>
      <c r="D44" s="16">
        <f>dados!D44</f>
        <v>0</v>
      </c>
      <c r="E44" s="69">
        <f>ABS(SUMPRODUCT(dados!E:E,-(dados!$B:$B=$B44),-(dados!$C:$C&lt;=$C44)))</f>
        <v>0</v>
      </c>
      <c r="F44" s="69">
        <f>ABS(SUMPRODUCT(dados!F:F,-(dados!$B:$B=$B44),-(dados!$C:$C&lt;=$C44)))</f>
        <v>0</v>
      </c>
      <c r="G44" s="69">
        <f>ABS(SUMPRODUCT(dados!G:G,-(dados!$B:$B=$B44),-(dados!$C:$C&lt;=$C44)))</f>
        <v>0</v>
      </c>
      <c r="H44" s="69">
        <f>ABS(SUMPRODUCT(dados!H:H,-(dados!$B:$B=$B44),-(dados!$C:$C&lt;=$C44)))</f>
        <v>0</v>
      </c>
      <c r="I44" s="69">
        <f>ABS(SUMPRODUCT(dados!I:I,-(dados!$B:$B=$B44),-(dados!$C:$C&lt;=$C44)))</f>
        <v>0</v>
      </c>
      <c r="J44" s="69">
        <f>ABS(SUMPRODUCT(dados!J:J,-(dados!$B:$B=$B44),-(dados!$C:$C&lt;=$C44)))</f>
        <v>0</v>
      </c>
      <c r="K44" s="69">
        <f>ABS(SUMPRODUCT(dados!K:K,-(dados!$B:$B=$B44),-(dados!$C:$C&lt;=$C44)))</f>
        <v>0</v>
      </c>
      <c r="L44" s="69">
        <f>ABS(SUMPRODUCT(dados!L:L,-(dados!$B:$B=$B44),-(dados!$C:$C&lt;=$C44)))</f>
        <v>0</v>
      </c>
      <c r="M44" s="69">
        <f>ABS(SUMPRODUCT(dados!M:M,-(dados!$B:$B=$B44),-(dados!$C:$C&lt;=$C44)))</f>
        <v>0</v>
      </c>
      <c r="N44" s="69">
        <f>ABS(SUMPRODUCT(dados!N:N,-(dados!$B:$B=$B44),-(dados!$C:$C&lt;=$C44)))</f>
        <v>0</v>
      </c>
      <c r="O44" s="69">
        <f>ABS(SUMPRODUCT(dados!O:O,-(dados!$B:$B=$B44),-(dados!$C:$C&lt;=$C44)))</f>
        <v>0</v>
      </c>
      <c r="P44" s="69">
        <f>ABS(SUMPRODUCT(dados!P:P,-(dados!$B:$B=$B44),-(dados!$C:$C&lt;=$C44)))</f>
        <v>0</v>
      </c>
      <c r="Q44" s="69">
        <f>ABS(SUMPRODUCT(dados!Q:Q,-(dados!$B:$B=$B44),-(dados!$C:$C&lt;=$C44)))</f>
        <v>0</v>
      </c>
      <c r="R44" s="69">
        <f>ABS(SUMPRODUCT(dados!R:R,-(dados!$B:$B=$B44),-(dados!$C:$C&lt;=$C44)))</f>
        <v>0</v>
      </c>
      <c r="S44" s="69">
        <f>ABS(SUMPRODUCT(dados!S:S,-(dados!$B:$B=$B44),-(dados!$C:$C&lt;=$C44)))</f>
        <v>0</v>
      </c>
      <c r="T44" s="69">
        <f>ABS(SUMPRODUCT(dados!T:T,-(dados!$B:$B=$B44),-(dados!$C:$C&lt;=$C44)))</f>
        <v>0</v>
      </c>
      <c r="U44" s="69">
        <f>ABS(SUMPRODUCT(dados!U:U,-(dados!$B:$B=$B44),-(dados!$C:$C&lt;=$C44)))</f>
        <v>0</v>
      </c>
    </row>
    <row r="45" spans="1:21" x14ac:dyDescent="0.25">
      <c r="A45" t="str">
        <f>dados!A45</f>
        <v>19001</v>
      </c>
      <c r="B45">
        <f>dados!B45</f>
        <v>1900</v>
      </c>
      <c r="C45">
        <f>dados!C45</f>
        <v>1</v>
      </c>
      <c r="D45" s="16">
        <f>dados!D45</f>
        <v>0</v>
      </c>
      <c r="E45" s="69">
        <f>ABS(SUMPRODUCT(dados!E:E,-(dados!$B:$B=$B45),-(dados!$C:$C&lt;=$C45)))</f>
        <v>0</v>
      </c>
      <c r="F45" s="69">
        <f>ABS(SUMPRODUCT(dados!F:F,-(dados!$B:$B=$B45),-(dados!$C:$C&lt;=$C45)))</f>
        <v>0</v>
      </c>
      <c r="G45" s="69">
        <f>ABS(SUMPRODUCT(dados!G:G,-(dados!$B:$B=$B45),-(dados!$C:$C&lt;=$C45)))</f>
        <v>0</v>
      </c>
      <c r="H45" s="69">
        <f>ABS(SUMPRODUCT(dados!H:H,-(dados!$B:$B=$B45),-(dados!$C:$C&lt;=$C45)))</f>
        <v>0</v>
      </c>
      <c r="I45" s="69">
        <f>ABS(SUMPRODUCT(dados!I:I,-(dados!$B:$B=$B45),-(dados!$C:$C&lt;=$C45)))</f>
        <v>0</v>
      </c>
      <c r="J45" s="69">
        <f>ABS(SUMPRODUCT(dados!J:J,-(dados!$B:$B=$B45),-(dados!$C:$C&lt;=$C45)))</f>
        <v>0</v>
      </c>
      <c r="K45" s="69">
        <f>ABS(SUMPRODUCT(dados!K:K,-(dados!$B:$B=$B45),-(dados!$C:$C&lt;=$C45)))</f>
        <v>0</v>
      </c>
      <c r="L45" s="69">
        <f>ABS(SUMPRODUCT(dados!L:L,-(dados!$B:$B=$B45),-(dados!$C:$C&lt;=$C45)))</f>
        <v>0</v>
      </c>
      <c r="M45" s="69">
        <f>ABS(SUMPRODUCT(dados!M:M,-(dados!$B:$B=$B45),-(dados!$C:$C&lt;=$C45)))</f>
        <v>0</v>
      </c>
      <c r="N45" s="69">
        <f>ABS(SUMPRODUCT(dados!N:N,-(dados!$B:$B=$B45),-(dados!$C:$C&lt;=$C45)))</f>
        <v>0</v>
      </c>
      <c r="O45" s="69">
        <f>ABS(SUMPRODUCT(dados!O:O,-(dados!$B:$B=$B45),-(dados!$C:$C&lt;=$C45)))</f>
        <v>0</v>
      </c>
      <c r="P45" s="69">
        <f>ABS(SUMPRODUCT(dados!P:P,-(dados!$B:$B=$B45),-(dados!$C:$C&lt;=$C45)))</f>
        <v>0</v>
      </c>
      <c r="Q45" s="69">
        <f>ABS(SUMPRODUCT(dados!Q:Q,-(dados!$B:$B=$B45),-(dados!$C:$C&lt;=$C45)))</f>
        <v>0</v>
      </c>
      <c r="R45" s="69">
        <f>ABS(SUMPRODUCT(dados!R:R,-(dados!$B:$B=$B45),-(dados!$C:$C&lt;=$C45)))</f>
        <v>0</v>
      </c>
      <c r="S45" s="69">
        <f>ABS(SUMPRODUCT(dados!S:S,-(dados!$B:$B=$B45),-(dados!$C:$C&lt;=$C45)))</f>
        <v>0</v>
      </c>
      <c r="T45" s="69">
        <f>ABS(SUMPRODUCT(dados!T:T,-(dados!$B:$B=$B45),-(dados!$C:$C&lt;=$C45)))</f>
        <v>0</v>
      </c>
      <c r="U45" s="69">
        <f>ABS(SUMPRODUCT(dados!U:U,-(dados!$B:$B=$B45),-(dados!$C:$C&lt;=$C45)))</f>
        <v>0</v>
      </c>
    </row>
    <row r="46" spans="1:21" x14ac:dyDescent="0.25">
      <c r="A46" t="str">
        <f>dados!A46</f>
        <v>19001</v>
      </c>
      <c r="B46">
        <f>dados!B46</f>
        <v>1900</v>
      </c>
      <c r="C46">
        <f>dados!C46</f>
        <v>1</v>
      </c>
      <c r="D46" s="16">
        <f>dados!D46</f>
        <v>0</v>
      </c>
      <c r="E46" s="69">
        <f>ABS(SUMPRODUCT(dados!E:E,-(dados!$B:$B=$B46),-(dados!$C:$C&lt;=$C46)))</f>
        <v>0</v>
      </c>
      <c r="F46" s="69">
        <f>ABS(SUMPRODUCT(dados!F:F,-(dados!$B:$B=$B46),-(dados!$C:$C&lt;=$C46)))</f>
        <v>0</v>
      </c>
      <c r="G46" s="69">
        <f>ABS(SUMPRODUCT(dados!G:G,-(dados!$B:$B=$B46),-(dados!$C:$C&lt;=$C46)))</f>
        <v>0</v>
      </c>
      <c r="H46" s="69">
        <f>ABS(SUMPRODUCT(dados!H:H,-(dados!$B:$B=$B46),-(dados!$C:$C&lt;=$C46)))</f>
        <v>0</v>
      </c>
      <c r="I46" s="69">
        <f>ABS(SUMPRODUCT(dados!I:I,-(dados!$B:$B=$B46),-(dados!$C:$C&lt;=$C46)))</f>
        <v>0</v>
      </c>
      <c r="J46" s="69">
        <f>ABS(SUMPRODUCT(dados!J:J,-(dados!$B:$B=$B46),-(dados!$C:$C&lt;=$C46)))</f>
        <v>0</v>
      </c>
      <c r="K46" s="69">
        <f>ABS(SUMPRODUCT(dados!K:K,-(dados!$B:$B=$B46),-(dados!$C:$C&lt;=$C46)))</f>
        <v>0</v>
      </c>
      <c r="L46" s="69">
        <f>ABS(SUMPRODUCT(dados!L:L,-(dados!$B:$B=$B46),-(dados!$C:$C&lt;=$C46)))</f>
        <v>0</v>
      </c>
      <c r="M46" s="69">
        <f>ABS(SUMPRODUCT(dados!M:M,-(dados!$B:$B=$B46),-(dados!$C:$C&lt;=$C46)))</f>
        <v>0</v>
      </c>
      <c r="N46" s="69">
        <f>ABS(SUMPRODUCT(dados!N:N,-(dados!$B:$B=$B46),-(dados!$C:$C&lt;=$C46)))</f>
        <v>0</v>
      </c>
      <c r="O46" s="69">
        <f>ABS(SUMPRODUCT(dados!O:O,-(dados!$B:$B=$B46),-(dados!$C:$C&lt;=$C46)))</f>
        <v>0</v>
      </c>
      <c r="P46" s="69">
        <f>ABS(SUMPRODUCT(dados!P:P,-(dados!$B:$B=$B46),-(dados!$C:$C&lt;=$C46)))</f>
        <v>0</v>
      </c>
      <c r="Q46" s="69">
        <f>ABS(SUMPRODUCT(dados!Q:Q,-(dados!$B:$B=$B46),-(dados!$C:$C&lt;=$C46)))</f>
        <v>0</v>
      </c>
      <c r="R46" s="69">
        <f>ABS(SUMPRODUCT(dados!R:R,-(dados!$B:$B=$B46),-(dados!$C:$C&lt;=$C46)))</f>
        <v>0</v>
      </c>
      <c r="S46" s="69">
        <f>ABS(SUMPRODUCT(dados!S:S,-(dados!$B:$B=$B46),-(dados!$C:$C&lt;=$C46)))</f>
        <v>0</v>
      </c>
      <c r="T46" s="69">
        <f>ABS(SUMPRODUCT(dados!T:T,-(dados!$B:$B=$B46),-(dados!$C:$C&lt;=$C46)))</f>
        <v>0</v>
      </c>
      <c r="U46" s="69">
        <f>ABS(SUMPRODUCT(dados!U:U,-(dados!$B:$B=$B46),-(dados!$C:$C&lt;=$C46)))</f>
        <v>0</v>
      </c>
    </row>
    <row r="47" spans="1:21" x14ac:dyDescent="0.25">
      <c r="A47" t="str">
        <f>dados!A47</f>
        <v>19001</v>
      </c>
      <c r="B47">
        <f>dados!B47</f>
        <v>1900</v>
      </c>
      <c r="C47">
        <f>dados!C47</f>
        <v>1</v>
      </c>
      <c r="D47" s="16">
        <f>dados!D47</f>
        <v>0</v>
      </c>
      <c r="E47" s="69">
        <f>ABS(SUMPRODUCT(dados!E:E,-(dados!$B:$B=$B47),-(dados!$C:$C&lt;=$C47)))</f>
        <v>0</v>
      </c>
      <c r="F47" s="69">
        <f>ABS(SUMPRODUCT(dados!F:F,-(dados!$B:$B=$B47),-(dados!$C:$C&lt;=$C47)))</f>
        <v>0</v>
      </c>
      <c r="G47" s="69">
        <f>ABS(SUMPRODUCT(dados!G:G,-(dados!$B:$B=$B47),-(dados!$C:$C&lt;=$C47)))</f>
        <v>0</v>
      </c>
      <c r="H47" s="69">
        <f>ABS(SUMPRODUCT(dados!H:H,-(dados!$B:$B=$B47),-(dados!$C:$C&lt;=$C47)))</f>
        <v>0</v>
      </c>
      <c r="I47" s="69">
        <f>ABS(SUMPRODUCT(dados!I:I,-(dados!$B:$B=$B47),-(dados!$C:$C&lt;=$C47)))</f>
        <v>0</v>
      </c>
      <c r="J47" s="69">
        <f>ABS(SUMPRODUCT(dados!J:J,-(dados!$B:$B=$B47),-(dados!$C:$C&lt;=$C47)))</f>
        <v>0</v>
      </c>
      <c r="K47" s="69">
        <f>ABS(SUMPRODUCT(dados!K:K,-(dados!$B:$B=$B47),-(dados!$C:$C&lt;=$C47)))</f>
        <v>0</v>
      </c>
      <c r="L47" s="69">
        <f>ABS(SUMPRODUCT(dados!L:L,-(dados!$B:$B=$B47),-(dados!$C:$C&lt;=$C47)))</f>
        <v>0</v>
      </c>
      <c r="M47" s="69">
        <f>ABS(SUMPRODUCT(dados!M:M,-(dados!$B:$B=$B47),-(dados!$C:$C&lt;=$C47)))</f>
        <v>0</v>
      </c>
      <c r="N47" s="69">
        <f>ABS(SUMPRODUCT(dados!N:N,-(dados!$B:$B=$B47),-(dados!$C:$C&lt;=$C47)))</f>
        <v>0</v>
      </c>
      <c r="O47" s="69">
        <f>ABS(SUMPRODUCT(dados!O:O,-(dados!$B:$B=$B47),-(dados!$C:$C&lt;=$C47)))</f>
        <v>0</v>
      </c>
      <c r="P47" s="69">
        <f>ABS(SUMPRODUCT(dados!P:P,-(dados!$B:$B=$B47),-(dados!$C:$C&lt;=$C47)))</f>
        <v>0</v>
      </c>
      <c r="Q47" s="69">
        <f>ABS(SUMPRODUCT(dados!Q:Q,-(dados!$B:$B=$B47),-(dados!$C:$C&lt;=$C47)))</f>
        <v>0</v>
      </c>
      <c r="R47" s="69">
        <f>ABS(SUMPRODUCT(dados!R:R,-(dados!$B:$B=$B47),-(dados!$C:$C&lt;=$C47)))</f>
        <v>0</v>
      </c>
      <c r="S47" s="69">
        <f>ABS(SUMPRODUCT(dados!S:S,-(dados!$B:$B=$B47),-(dados!$C:$C&lt;=$C47)))</f>
        <v>0</v>
      </c>
      <c r="T47" s="69">
        <f>ABS(SUMPRODUCT(dados!T:T,-(dados!$B:$B=$B47),-(dados!$C:$C&lt;=$C47)))</f>
        <v>0</v>
      </c>
      <c r="U47" s="69">
        <f>ABS(SUMPRODUCT(dados!U:U,-(dados!$B:$B=$B47),-(dados!$C:$C&lt;=$C47)))</f>
        <v>0</v>
      </c>
    </row>
    <row r="48" spans="1:21" x14ac:dyDescent="0.25">
      <c r="A48" t="str">
        <f>dados!A48</f>
        <v>19001</v>
      </c>
      <c r="B48">
        <f>dados!B48</f>
        <v>1900</v>
      </c>
      <c r="C48">
        <f>dados!C48</f>
        <v>1</v>
      </c>
      <c r="D48" s="16">
        <f>dados!D48</f>
        <v>0</v>
      </c>
      <c r="E48" s="69">
        <f>ABS(SUMPRODUCT(dados!E:E,-(dados!$B:$B=$B48),-(dados!$C:$C&lt;=$C48)))</f>
        <v>0</v>
      </c>
      <c r="F48" s="69">
        <f>ABS(SUMPRODUCT(dados!F:F,-(dados!$B:$B=$B48),-(dados!$C:$C&lt;=$C48)))</f>
        <v>0</v>
      </c>
      <c r="G48" s="69">
        <f>ABS(SUMPRODUCT(dados!G:G,-(dados!$B:$B=$B48),-(dados!$C:$C&lt;=$C48)))</f>
        <v>0</v>
      </c>
      <c r="H48" s="69">
        <f>ABS(SUMPRODUCT(dados!H:H,-(dados!$B:$B=$B48),-(dados!$C:$C&lt;=$C48)))</f>
        <v>0</v>
      </c>
      <c r="I48" s="69">
        <f>ABS(SUMPRODUCT(dados!I:I,-(dados!$B:$B=$B48),-(dados!$C:$C&lt;=$C48)))</f>
        <v>0</v>
      </c>
      <c r="J48" s="69">
        <f>ABS(SUMPRODUCT(dados!J:J,-(dados!$B:$B=$B48),-(dados!$C:$C&lt;=$C48)))</f>
        <v>0</v>
      </c>
      <c r="K48" s="69">
        <f>ABS(SUMPRODUCT(dados!K:K,-(dados!$B:$B=$B48),-(dados!$C:$C&lt;=$C48)))</f>
        <v>0</v>
      </c>
      <c r="L48" s="69">
        <f>ABS(SUMPRODUCT(dados!L:L,-(dados!$B:$B=$B48),-(dados!$C:$C&lt;=$C48)))</f>
        <v>0</v>
      </c>
      <c r="M48" s="69">
        <f>ABS(SUMPRODUCT(dados!M:M,-(dados!$B:$B=$B48),-(dados!$C:$C&lt;=$C48)))</f>
        <v>0</v>
      </c>
      <c r="N48" s="69">
        <f>ABS(SUMPRODUCT(dados!N:N,-(dados!$B:$B=$B48),-(dados!$C:$C&lt;=$C48)))</f>
        <v>0</v>
      </c>
      <c r="O48" s="69">
        <f>ABS(SUMPRODUCT(dados!O:O,-(dados!$B:$B=$B48),-(dados!$C:$C&lt;=$C48)))</f>
        <v>0</v>
      </c>
      <c r="P48" s="69">
        <f>ABS(SUMPRODUCT(dados!P:P,-(dados!$B:$B=$B48),-(dados!$C:$C&lt;=$C48)))</f>
        <v>0</v>
      </c>
      <c r="Q48" s="69">
        <f>ABS(SUMPRODUCT(dados!Q:Q,-(dados!$B:$B=$B48),-(dados!$C:$C&lt;=$C48)))</f>
        <v>0</v>
      </c>
      <c r="R48" s="69">
        <f>ABS(SUMPRODUCT(dados!R:R,-(dados!$B:$B=$B48),-(dados!$C:$C&lt;=$C48)))</f>
        <v>0</v>
      </c>
      <c r="S48" s="69">
        <f>ABS(SUMPRODUCT(dados!S:S,-(dados!$B:$B=$B48),-(dados!$C:$C&lt;=$C48)))</f>
        <v>0</v>
      </c>
      <c r="T48" s="69">
        <f>ABS(SUMPRODUCT(dados!T:T,-(dados!$B:$B=$B48),-(dados!$C:$C&lt;=$C48)))</f>
        <v>0</v>
      </c>
      <c r="U48" s="69">
        <f>ABS(SUMPRODUCT(dados!U:U,-(dados!$B:$B=$B48),-(dados!$C:$C&lt;=$C48)))</f>
        <v>0</v>
      </c>
    </row>
    <row r="49" spans="1:21" x14ac:dyDescent="0.25">
      <c r="A49" t="str">
        <f>dados!A49</f>
        <v>19001</v>
      </c>
      <c r="B49">
        <f>dados!B49</f>
        <v>1900</v>
      </c>
      <c r="C49">
        <f>dados!C49</f>
        <v>1</v>
      </c>
      <c r="D49" s="16">
        <f>dados!D49</f>
        <v>0</v>
      </c>
      <c r="E49" s="69">
        <f>ABS(SUMPRODUCT(dados!E:E,-(dados!$B:$B=$B49),-(dados!$C:$C&lt;=$C49)))</f>
        <v>0</v>
      </c>
      <c r="F49" s="69">
        <f>ABS(SUMPRODUCT(dados!F:F,-(dados!$B:$B=$B49),-(dados!$C:$C&lt;=$C49)))</f>
        <v>0</v>
      </c>
      <c r="G49" s="69">
        <f>ABS(SUMPRODUCT(dados!G:G,-(dados!$B:$B=$B49),-(dados!$C:$C&lt;=$C49)))</f>
        <v>0</v>
      </c>
      <c r="H49" s="69">
        <f>ABS(SUMPRODUCT(dados!H:H,-(dados!$B:$B=$B49),-(dados!$C:$C&lt;=$C49)))</f>
        <v>0</v>
      </c>
      <c r="I49" s="69">
        <f>ABS(SUMPRODUCT(dados!I:I,-(dados!$B:$B=$B49),-(dados!$C:$C&lt;=$C49)))</f>
        <v>0</v>
      </c>
      <c r="J49" s="69">
        <f>ABS(SUMPRODUCT(dados!J:J,-(dados!$B:$B=$B49),-(dados!$C:$C&lt;=$C49)))</f>
        <v>0</v>
      </c>
      <c r="K49" s="69">
        <f>ABS(SUMPRODUCT(dados!K:K,-(dados!$B:$B=$B49),-(dados!$C:$C&lt;=$C49)))</f>
        <v>0</v>
      </c>
      <c r="L49" s="69">
        <f>ABS(SUMPRODUCT(dados!L:L,-(dados!$B:$B=$B49),-(dados!$C:$C&lt;=$C49)))</f>
        <v>0</v>
      </c>
      <c r="M49" s="69">
        <f>ABS(SUMPRODUCT(dados!M:M,-(dados!$B:$B=$B49),-(dados!$C:$C&lt;=$C49)))</f>
        <v>0</v>
      </c>
      <c r="N49" s="69">
        <f>ABS(SUMPRODUCT(dados!N:N,-(dados!$B:$B=$B49),-(dados!$C:$C&lt;=$C49)))</f>
        <v>0</v>
      </c>
      <c r="O49" s="69">
        <f>ABS(SUMPRODUCT(dados!O:O,-(dados!$B:$B=$B49),-(dados!$C:$C&lt;=$C49)))</f>
        <v>0</v>
      </c>
      <c r="P49" s="69">
        <f>ABS(SUMPRODUCT(dados!P:P,-(dados!$B:$B=$B49),-(dados!$C:$C&lt;=$C49)))</f>
        <v>0</v>
      </c>
      <c r="Q49" s="69">
        <f>ABS(SUMPRODUCT(dados!Q:Q,-(dados!$B:$B=$B49),-(dados!$C:$C&lt;=$C49)))</f>
        <v>0</v>
      </c>
      <c r="R49" s="69">
        <f>ABS(SUMPRODUCT(dados!R:R,-(dados!$B:$B=$B49),-(dados!$C:$C&lt;=$C49)))</f>
        <v>0</v>
      </c>
      <c r="S49" s="69">
        <f>ABS(SUMPRODUCT(dados!S:S,-(dados!$B:$B=$B49),-(dados!$C:$C&lt;=$C49)))</f>
        <v>0</v>
      </c>
      <c r="T49" s="69">
        <f>ABS(SUMPRODUCT(dados!T:T,-(dados!$B:$B=$B49),-(dados!$C:$C&lt;=$C49)))</f>
        <v>0</v>
      </c>
      <c r="U49" s="69">
        <f>ABS(SUMPRODUCT(dados!U:U,-(dados!$B:$B=$B49),-(dados!$C:$C&lt;=$C49)))</f>
        <v>0</v>
      </c>
    </row>
    <row r="50" spans="1:21" x14ac:dyDescent="0.25">
      <c r="A50" t="str">
        <f>dados!A50</f>
        <v>19001</v>
      </c>
      <c r="B50">
        <f>dados!B50</f>
        <v>1900</v>
      </c>
      <c r="C50">
        <f>dados!C50</f>
        <v>1</v>
      </c>
      <c r="D50" s="16">
        <f>dados!D50</f>
        <v>0</v>
      </c>
      <c r="E50" s="69">
        <f>ABS(SUMPRODUCT(dados!E:E,-(dados!$B:$B=$B50),-(dados!$C:$C&lt;=$C50)))</f>
        <v>0</v>
      </c>
      <c r="F50" s="69">
        <f>ABS(SUMPRODUCT(dados!F:F,-(dados!$B:$B=$B50),-(dados!$C:$C&lt;=$C50)))</f>
        <v>0</v>
      </c>
      <c r="G50" s="69">
        <f>ABS(SUMPRODUCT(dados!G:G,-(dados!$B:$B=$B50),-(dados!$C:$C&lt;=$C50)))</f>
        <v>0</v>
      </c>
      <c r="H50" s="69">
        <f>ABS(SUMPRODUCT(dados!H:H,-(dados!$B:$B=$B50),-(dados!$C:$C&lt;=$C50)))</f>
        <v>0</v>
      </c>
      <c r="I50" s="69">
        <f>ABS(SUMPRODUCT(dados!I:I,-(dados!$B:$B=$B50),-(dados!$C:$C&lt;=$C50)))</f>
        <v>0</v>
      </c>
      <c r="J50" s="69">
        <f>ABS(SUMPRODUCT(dados!J:J,-(dados!$B:$B=$B50),-(dados!$C:$C&lt;=$C50)))</f>
        <v>0</v>
      </c>
      <c r="K50" s="69">
        <f>ABS(SUMPRODUCT(dados!K:K,-(dados!$B:$B=$B50),-(dados!$C:$C&lt;=$C50)))</f>
        <v>0</v>
      </c>
      <c r="L50" s="69">
        <f>ABS(SUMPRODUCT(dados!L:L,-(dados!$B:$B=$B50),-(dados!$C:$C&lt;=$C50)))</f>
        <v>0</v>
      </c>
      <c r="M50" s="69">
        <f>ABS(SUMPRODUCT(dados!M:M,-(dados!$B:$B=$B50),-(dados!$C:$C&lt;=$C50)))</f>
        <v>0</v>
      </c>
      <c r="N50" s="69">
        <f>ABS(SUMPRODUCT(dados!N:N,-(dados!$B:$B=$B50),-(dados!$C:$C&lt;=$C50)))</f>
        <v>0</v>
      </c>
      <c r="O50" s="69">
        <f>ABS(SUMPRODUCT(dados!O:O,-(dados!$B:$B=$B50),-(dados!$C:$C&lt;=$C50)))</f>
        <v>0</v>
      </c>
      <c r="P50" s="69">
        <f>ABS(SUMPRODUCT(dados!P:P,-(dados!$B:$B=$B50),-(dados!$C:$C&lt;=$C50)))</f>
        <v>0</v>
      </c>
      <c r="Q50" s="69">
        <f>ABS(SUMPRODUCT(dados!Q:Q,-(dados!$B:$B=$B50),-(dados!$C:$C&lt;=$C50)))</f>
        <v>0</v>
      </c>
      <c r="R50" s="69">
        <f>ABS(SUMPRODUCT(dados!R:R,-(dados!$B:$B=$B50),-(dados!$C:$C&lt;=$C50)))</f>
        <v>0</v>
      </c>
      <c r="S50" s="69">
        <f>ABS(SUMPRODUCT(dados!S:S,-(dados!$B:$B=$B50),-(dados!$C:$C&lt;=$C50)))</f>
        <v>0</v>
      </c>
      <c r="T50" s="69">
        <f>ABS(SUMPRODUCT(dados!T:T,-(dados!$B:$B=$B50),-(dados!$C:$C&lt;=$C50)))</f>
        <v>0</v>
      </c>
      <c r="U50" s="69">
        <f>ABS(SUMPRODUCT(dados!U:U,-(dados!$B:$B=$B50),-(dados!$C:$C&lt;=$C50)))</f>
        <v>0</v>
      </c>
    </row>
    <row r="51" spans="1:21" x14ac:dyDescent="0.25">
      <c r="A51" t="str">
        <f>dados!A51</f>
        <v>19001</v>
      </c>
      <c r="B51">
        <f>dados!B51</f>
        <v>1900</v>
      </c>
      <c r="C51">
        <f>dados!C51</f>
        <v>1</v>
      </c>
      <c r="D51" s="16">
        <f>dados!D51</f>
        <v>0</v>
      </c>
      <c r="E51" s="69">
        <f>ABS(SUMPRODUCT(dados!E:E,-(dados!$B:$B=$B51),-(dados!$C:$C&lt;=$C51)))</f>
        <v>0</v>
      </c>
      <c r="F51" s="69">
        <f>ABS(SUMPRODUCT(dados!F:F,-(dados!$B:$B=$B51),-(dados!$C:$C&lt;=$C51)))</f>
        <v>0</v>
      </c>
      <c r="G51" s="69">
        <f>ABS(SUMPRODUCT(dados!G:G,-(dados!$B:$B=$B51),-(dados!$C:$C&lt;=$C51)))</f>
        <v>0</v>
      </c>
      <c r="H51" s="69">
        <f>ABS(SUMPRODUCT(dados!H:H,-(dados!$B:$B=$B51),-(dados!$C:$C&lt;=$C51)))</f>
        <v>0</v>
      </c>
      <c r="I51" s="69">
        <f>ABS(SUMPRODUCT(dados!I:I,-(dados!$B:$B=$B51),-(dados!$C:$C&lt;=$C51)))</f>
        <v>0</v>
      </c>
      <c r="J51" s="69">
        <f>ABS(SUMPRODUCT(dados!J:J,-(dados!$B:$B=$B51),-(dados!$C:$C&lt;=$C51)))</f>
        <v>0</v>
      </c>
      <c r="K51" s="69">
        <f>ABS(SUMPRODUCT(dados!K:K,-(dados!$B:$B=$B51),-(dados!$C:$C&lt;=$C51)))</f>
        <v>0</v>
      </c>
      <c r="L51" s="69">
        <f>ABS(SUMPRODUCT(dados!L:L,-(dados!$B:$B=$B51),-(dados!$C:$C&lt;=$C51)))</f>
        <v>0</v>
      </c>
      <c r="M51" s="69">
        <f>ABS(SUMPRODUCT(dados!M:M,-(dados!$B:$B=$B51),-(dados!$C:$C&lt;=$C51)))</f>
        <v>0</v>
      </c>
      <c r="N51" s="69">
        <f>ABS(SUMPRODUCT(dados!N:N,-(dados!$B:$B=$B51),-(dados!$C:$C&lt;=$C51)))</f>
        <v>0</v>
      </c>
      <c r="O51" s="69">
        <f>ABS(SUMPRODUCT(dados!O:O,-(dados!$B:$B=$B51),-(dados!$C:$C&lt;=$C51)))</f>
        <v>0</v>
      </c>
      <c r="P51" s="69">
        <f>ABS(SUMPRODUCT(dados!P:P,-(dados!$B:$B=$B51),-(dados!$C:$C&lt;=$C51)))</f>
        <v>0</v>
      </c>
      <c r="Q51" s="69">
        <f>ABS(SUMPRODUCT(dados!Q:Q,-(dados!$B:$B=$B51),-(dados!$C:$C&lt;=$C51)))</f>
        <v>0</v>
      </c>
      <c r="R51" s="69">
        <f>ABS(SUMPRODUCT(dados!R:R,-(dados!$B:$B=$B51),-(dados!$C:$C&lt;=$C51)))</f>
        <v>0</v>
      </c>
      <c r="S51" s="69">
        <f>ABS(SUMPRODUCT(dados!S:S,-(dados!$B:$B=$B51),-(dados!$C:$C&lt;=$C51)))</f>
        <v>0</v>
      </c>
      <c r="T51" s="69">
        <f>ABS(SUMPRODUCT(dados!T:T,-(dados!$B:$B=$B51),-(dados!$C:$C&lt;=$C51)))</f>
        <v>0</v>
      </c>
      <c r="U51" s="69">
        <f>ABS(SUMPRODUCT(dados!U:U,-(dados!$B:$B=$B51),-(dados!$C:$C&lt;=$C51)))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tabSelected="1" workbookViewId="0">
      <selection activeCell="A2" sqref="A2"/>
    </sheetView>
  </sheetViews>
  <sheetFormatPr defaultRowHeight="15.75" x14ac:dyDescent="0.25"/>
  <cols>
    <col min="1" max="1" width="46" style="83" customWidth="1"/>
    <col min="2" max="2" width="14.5703125" style="5" customWidth="1"/>
    <col min="3" max="3" width="14.85546875" style="5" customWidth="1"/>
    <col min="4" max="4" width="15.85546875" style="5" customWidth="1"/>
    <col min="5" max="5" width="15.28515625" style="5" customWidth="1"/>
    <col min="6" max="6" width="15.7109375" style="5" customWidth="1"/>
    <col min="7" max="7" width="18" style="5" customWidth="1"/>
    <col min="8" max="8" width="19.42578125" style="5" customWidth="1"/>
    <col min="9" max="9" width="18.5703125" style="5" customWidth="1"/>
    <col min="10" max="10" width="2.28515625" style="5" customWidth="1"/>
    <col min="11" max="11" width="1.42578125" style="5" customWidth="1"/>
    <col min="12" max="12" width="9.140625" style="5"/>
    <col min="13" max="13" width="12.42578125" style="5" bestFit="1" customWidth="1"/>
    <col min="14" max="14" width="11.5703125" style="5" customWidth="1"/>
    <col min="15" max="15" width="9.140625" style="5"/>
    <col min="16" max="16" width="12.42578125" style="5" bestFit="1" customWidth="1"/>
    <col min="17" max="17" width="9.140625" style="5"/>
    <col min="18" max="18" width="9.5703125" style="5" bestFit="1" customWidth="1"/>
    <col min="19" max="19" width="12.42578125" style="5" bestFit="1" customWidth="1"/>
    <col min="20" max="21" width="9.140625" style="5"/>
    <col min="22" max="22" width="12.42578125" style="5" bestFit="1" customWidth="1"/>
    <col min="23" max="16384" width="9.140625" style="5"/>
  </cols>
  <sheetData>
    <row r="1" spans="1:14" ht="24" thickBot="1" x14ac:dyDescent="0.4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L1"/>
      <c r="M1"/>
      <c r="N1"/>
    </row>
    <row r="2" spans="1:14" ht="16.5" thickBot="1" x14ac:dyDescent="0.3">
      <c r="A2" s="77"/>
      <c r="B2"/>
      <c r="C2"/>
      <c r="D2"/>
      <c r="E2"/>
      <c r="F2"/>
      <c r="G2"/>
      <c r="H2"/>
      <c r="I2"/>
      <c r="L2" s="103" t="s">
        <v>12</v>
      </c>
      <c r="M2" s="104"/>
      <c r="N2" s="105"/>
    </row>
    <row r="3" spans="1:14" ht="19.5" thickBot="1" x14ac:dyDescent="0.3">
      <c r="A3" s="110"/>
      <c r="B3" s="111"/>
      <c r="C3" s="111"/>
      <c r="D3" s="111"/>
      <c r="E3" s="111"/>
      <c r="F3" s="111"/>
      <c r="G3" s="111"/>
      <c r="H3" s="111"/>
      <c r="I3" s="112"/>
      <c r="L3" s="106">
        <v>43800</v>
      </c>
      <c r="M3" s="107"/>
      <c r="N3" s="108"/>
    </row>
    <row r="4" spans="1:14" ht="24" customHeight="1" x14ac:dyDescent="0.25">
      <c r="A4" s="113" t="s">
        <v>40</v>
      </c>
      <c r="B4" s="115" t="s">
        <v>41</v>
      </c>
      <c r="C4" s="116"/>
      <c r="D4" s="116"/>
      <c r="E4" s="116"/>
      <c r="F4" s="117"/>
      <c r="G4" s="115" t="s">
        <v>2</v>
      </c>
      <c r="H4" s="116"/>
      <c r="I4" s="117"/>
    </row>
    <row r="5" spans="1:14" ht="60.75" customHeight="1" x14ac:dyDescent="0.25">
      <c r="A5" s="114"/>
      <c r="B5" s="32" t="s">
        <v>7</v>
      </c>
      <c r="C5" s="32" t="s">
        <v>8</v>
      </c>
      <c r="D5" s="32" t="s">
        <v>9</v>
      </c>
      <c r="E5" s="32" t="s">
        <v>10</v>
      </c>
      <c r="F5" s="32" t="s">
        <v>11</v>
      </c>
      <c r="G5" s="118" t="str">
        <f>CONCATENATE("Variação do mês de ",(TEXT(B6,"MMMM"))&amp;" de "&amp;YEAR(B6)&amp;" /  "&amp;"mês anterior: "&amp;(TEXT(B6-1,"MMMM")))</f>
        <v>Variação do mês de dezembro de 2019 /  mês anterior: novembro</v>
      </c>
      <c r="H5" s="118" t="str">
        <f>CONCATENATE("Variação do mês de "&amp;(TEXT(B6,"MMMM")&amp;" de "&amp;YEAR(B6))&amp;" / ",(TEXT(B6,"MMMM")&amp;" do ano anterior"))</f>
        <v>Variação do mês de dezembro de 2019 / dezembro do ano anterior</v>
      </c>
      <c r="I5" s="118" t="str">
        <f>CONCATENATE("Variação de "&amp;YEAR(L3)&amp;" acumulado até "&amp;(TEXT(L3,"MMMM"))&amp;" / ano anterior "&amp;"acumulado até "&amp;(TEXT(L3,"MMMM")))</f>
        <v>Variação de 2019 acumulado até dezembro / ano anterior acumulado até dezembro</v>
      </c>
    </row>
    <row r="6" spans="1:14" ht="72" customHeight="1" thickBot="1" x14ac:dyDescent="0.3">
      <c r="A6" s="114"/>
      <c r="B6" s="50">
        <f>L3</f>
        <v>43800</v>
      </c>
      <c r="C6" s="50">
        <f>EDATE(L3,-1)</f>
        <v>43770</v>
      </c>
      <c r="D6" s="50">
        <f>EDATE(L3,-12)</f>
        <v>43435</v>
      </c>
      <c r="E6" s="51" t="str">
        <f>CONCATENATE("Ano de "&amp;YEAR(B6)&amp;" acumulado até "&amp;(TEXT(B6,"MMMM")))</f>
        <v>Ano de 2019 acumulado até dezembro</v>
      </c>
      <c r="F6" s="51" t="str">
        <f>CONCATENATE("Ano de "&amp;(YEAR(D6)&amp;" acumulado até "&amp;(TEXT(D6,"MMMM"))))</f>
        <v>Ano de 2018 acumulado até dezembro</v>
      </c>
      <c r="G6" s="119"/>
      <c r="H6" s="119"/>
      <c r="I6" s="119"/>
    </row>
    <row r="7" spans="1:14" ht="42" customHeight="1" x14ac:dyDescent="0.25">
      <c r="A7" s="78" t="s">
        <v>20</v>
      </c>
      <c r="B7" s="72">
        <f>VLOOKUP(YEAR($L$3)&amp;MONTH($L$3),dados!$A$4:$U$13934,5,FALSE)</f>
        <v>97.1</v>
      </c>
      <c r="C7" s="72">
        <f>IFERROR(VLOOKUP(YEAR($C$6)&amp;MONTH($C$6),dados!$A$4:$U$13934,5,FALSE),"-")</f>
        <v>101</v>
      </c>
      <c r="D7" s="72">
        <f>IFERROR(VLOOKUP(YEAR($D$6)&amp;MONTH($D$6),dados!$A$4:$U$13934,5,FALSE),"-")</f>
        <v>93.6</v>
      </c>
      <c r="E7" s="52">
        <f>VLOOKUP(YEAR($L$3)&amp;MONTH($L$3),dados_acumulados!$A$4:$AE$14772,5,FALSE)</f>
        <v>1131.4000000000001</v>
      </c>
      <c r="F7" s="52">
        <f>IFERROR(VLOOKUP(YEAR($D$6)&amp;MONTH($D$6),dados_acumulados!$A$2:$AE$14772,5,FALSE),"-")</f>
        <v>1113</v>
      </c>
      <c r="G7" s="53">
        <f t="shared" ref="G7:G8" si="0">IFERROR((B7-C7)/C7 * 100,"-")</f>
        <v>-3.861386138613867</v>
      </c>
      <c r="H7" s="53">
        <f t="shared" ref="H7:H8" si="1">IFERROR((B7-D7)/D7*100,"-")</f>
        <v>3.7393162393162394</v>
      </c>
      <c r="I7" s="54">
        <f t="shared" ref="I7:I8" si="2">IFERROR((E7-F7)/F7 *100,"-")</f>
        <v>1.6531895777178878</v>
      </c>
    </row>
    <row r="8" spans="1:14" ht="44.25" customHeight="1" x14ac:dyDescent="0.25">
      <c r="A8" s="84" t="s">
        <v>21</v>
      </c>
      <c r="B8" s="73">
        <f>VLOOKUP(YEAR($L$3)&amp;MONTH($L$3),dados!$A$4:$U$13934,6,FALSE)</f>
        <v>98.5</v>
      </c>
      <c r="C8" s="73">
        <f>IFERROR(VLOOKUP(YEAR($C$6)&amp;MONTH($C$6),dados!$A$4:$U$13934,6,FALSE),"-")</f>
        <v>103.6</v>
      </c>
      <c r="D8" s="73">
        <f>IFERROR(VLOOKUP(YEAR($D$6)&amp;MONTH($D$6),dados!$A$4:$U$13934,6,FALSE),"-")</f>
        <v>94.1</v>
      </c>
      <c r="E8" s="33">
        <f>VLOOKUP(YEAR($L$3)&amp;MONTH($L$3),dados_acumulados!$A$4:$AE$14772,6,FALSE)</f>
        <v>1138.9000000000001</v>
      </c>
      <c r="F8" s="33">
        <f>IFERROR(VLOOKUP(YEAR($D$6)&amp;MONTH($D$6),dados_acumulados!$A$2:$AE$14772,6,FALSE),"-")</f>
        <v>1112.5999999999999</v>
      </c>
      <c r="G8" s="34">
        <f t="shared" si="0"/>
        <v>-4.9227799227799176</v>
      </c>
      <c r="H8" s="34">
        <f t="shared" si="1"/>
        <v>4.6758767268862975</v>
      </c>
      <c r="I8" s="55">
        <f t="shared" si="2"/>
        <v>2.3638324644975897</v>
      </c>
    </row>
    <row r="9" spans="1:14" ht="30" customHeight="1" x14ac:dyDescent="0.25">
      <c r="A9" s="79" t="s">
        <v>14</v>
      </c>
      <c r="B9" s="75">
        <f>VLOOKUP(YEAR($L$3)&amp;MONTH($L$3),dados!$A$4:$U$13934,7,FALSE)</f>
        <v>145.4</v>
      </c>
      <c r="C9" s="75">
        <f>IFERROR(VLOOKUP(YEAR($C$6)&amp;MONTH($C$6),dados!$A$4:$U$13934,7,FALSE),"-")</f>
        <v>139.4</v>
      </c>
      <c r="D9" s="75">
        <f>IFERROR(VLOOKUP(YEAR($D$6)&amp;MONTH($D$6),dados!$A$4:$U$13934,7,FALSE),"-")</f>
        <v>114</v>
      </c>
      <c r="E9" s="70">
        <f>VLOOKUP(YEAR($L$3)&amp;MONTH($L$3),dados_acumulados!$A$4:$AE$14772,7,FALSE)</f>
        <v>1456.6000000000001</v>
      </c>
      <c r="F9" s="70">
        <f>IFERROR(VLOOKUP(YEAR($D$6)&amp;MONTH($D$6),dados_acumulados!$A$2:$AE$14772,7,FALSE),"-")</f>
        <v>1269.8</v>
      </c>
      <c r="G9" s="71">
        <f>IFERROR((B9-C9)/ABS(C9) * 100,"-")</f>
        <v>4.3041606886657098</v>
      </c>
      <c r="H9" s="71">
        <f>IFERROR((B9-D9)/ABS(D9)*100,"-")</f>
        <v>27.543859649122808</v>
      </c>
      <c r="I9" s="76">
        <f>IFERROR((E9-F9)/ABS(F9) *100,"-")</f>
        <v>14.710978106788486</v>
      </c>
    </row>
    <row r="10" spans="1:14" ht="30" customHeight="1" x14ac:dyDescent="0.25">
      <c r="A10" s="84" t="s">
        <v>15</v>
      </c>
      <c r="B10" s="73">
        <f>VLOOKUP(YEAR($L$3)&amp;MONTH($L$3),dados!$A$4:$U$13934,8,FALSE)</f>
        <v>80</v>
      </c>
      <c r="C10" s="73">
        <f>IFERROR(VLOOKUP(YEAR($C$6)&amp;MONTH($C$6),dados!$A$4:$U$13934,8,FALSE),"-")</f>
        <v>89.4</v>
      </c>
      <c r="D10" s="73">
        <f>IFERROR(VLOOKUP(YEAR($D$6)&amp;MONTH($D$6),dados!$A$4:$U$13934,8,FALSE),"-")</f>
        <v>86.2</v>
      </c>
      <c r="E10" s="33">
        <f>VLOOKUP(YEAR($L$3)&amp;MONTH($L$3),dados_acumulados!$A$4:$AE$14772,8,FALSE)</f>
        <v>1013.5999999999999</v>
      </c>
      <c r="F10" s="33">
        <f>IFERROR(VLOOKUP(YEAR($D$6)&amp;MONTH($D$6),dados_acumulados!$A$2:$AE$14772,8,FALSE),"-")</f>
        <v>1050.6000000000001</v>
      </c>
      <c r="G10" s="34">
        <f t="shared" ref="G10:G23" si="3">IFERROR((B10-C10)/ABS(C10) * 100,"-")</f>
        <v>-10.514541387024614</v>
      </c>
      <c r="H10" s="34">
        <f t="shared" ref="H10:H23" si="4">IFERROR((B10-D10)/ABS(D10)*100,"-")</f>
        <v>-7.1925754060324847</v>
      </c>
      <c r="I10" s="55">
        <f t="shared" ref="I10:I23" si="5">IFERROR((E10-F10)/ABS(F10) *100,"-")</f>
        <v>-3.5217970683419213</v>
      </c>
    </row>
    <row r="11" spans="1:14" ht="30" customHeight="1" x14ac:dyDescent="0.25">
      <c r="A11" s="79" t="s">
        <v>22</v>
      </c>
      <c r="B11" s="75">
        <f>VLOOKUP(YEAR($L$3)&amp;MONTH($L$3),dados!$A$4:$U$13934,9,FALSE)</f>
        <v>75</v>
      </c>
      <c r="C11" s="75">
        <f>IFERROR(VLOOKUP(YEAR($C$6)&amp;MONTH($C$6),dados!$A$4:$U$13934,9,FALSE),"-")</f>
        <v>97.3</v>
      </c>
      <c r="D11" s="75">
        <f>IFERROR(VLOOKUP(YEAR($D$6)&amp;MONTH($D$6),dados!$A$4:$U$13934,9,FALSE),"-")</f>
        <v>128.19999999999999</v>
      </c>
      <c r="E11" s="70">
        <f>VLOOKUP(YEAR($L$3)&amp;MONTH($L$3),dados_acumulados!$A$4:$AE$14772,9,FALSE)</f>
        <v>1080.5999999999999</v>
      </c>
      <c r="F11" s="70">
        <f>IFERROR(VLOOKUP(YEAR($D$6)&amp;MONTH($D$6),dados_acumulados!$A$2:$AE$14772,9,FALSE),"-")</f>
        <v>1168.8</v>
      </c>
      <c r="G11" s="71">
        <f t="shared" si="3"/>
        <v>-22.91880781089414</v>
      </c>
      <c r="H11" s="71">
        <f t="shared" si="4"/>
        <v>-41.497659906396251</v>
      </c>
      <c r="I11" s="76">
        <f t="shared" si="5"/>
        <v>-7.5462012320328578</v>
      </c>
    </row>
    <row r="12" spans="1:14" ht="30" customHeight="1" x14ac:dyDescent="0.25">
      <c r="A12" s="84" t="s">
        <v>23</v>
      </c>
      <c r="B12" s="73">
        <f>VLOOKUP(YEAR($L$3)&amp;MONTH($L$3),dados!$A$4:$U$13934,10,FALSE)</f>
        <v>114</v>
      </c>
      <c r="C12" s="73">
        <f>IFERROR(VLOOKUP(YEAR($C$6)&amp;MONTH($C$6),dados!$A$4:$U$13934,10,FALSE),"-")</f>
        <v>99.6</v>
      </c>
      <c r="D12" s="73">
        <f>IFERROR(VLOOKUP(YEAR($D$6)&amp;MONTH($D$6),dados!$A$4:$U$13934,10,FALSE),"-")</f>
        <v>116.2</v>
      </c>
      <c r="E12" s="33">
        <f>VLOOKUP(YEAR($L$3)&amp;MONTH($L$3),dados_acumulados!$A$4:$AE$14772,10,FALSE)</f>
        <v>1091.2000000000003</v>
      </c>
      <c r="F12" s="33">
        <f>IFERROR(VLOOKUP(YEAR($D$6)&amp;MONTH($D$6),dados_acumulados!$A$2:$AE$14772,10,FALSE),"-")</f>
        <v>1102</v>
      </c>
      <c r="G12" s="34">
        <f t="shared" si="3"/>
        <v>14.457831325301212</v>
      </c>
      <c r="H12" s="34">
        <f t="shared" si="4"/>
        <v>-1.8932874354561127</v>
      </c>
      <c r="I12" s="55">
        <f t="shared" si="5"/>
        <v>-0.98003629764062861</v>
      </c>
    </row>
    <row r="13" spans="1:14" ht="30" customHeight="1" x14ac:dyDescent="0.25">
      <c r="A13" s="79" t="s">
        <v>24</v>
      </c>
      <c r="B13" s="75">
        <f>VLOOKUP(YEAR($L$3)&amp;MONTH($L$3),dados!$A$4:$U$13934,11,FALSE)</f>
        <v>60.3</v>
      </c>
      <c r="C13" s="75">
        <f>IFERROR(VLOOKUP(YEAR($C$6)&amp;MONTH($C$6),dados!$A$4:$U$13934,11,FALSE),"-")</f>
        <v>40.9</v>
      </c>
      <c r="D13" s="75">
        <f>IFERROR(VLOOKUP(YEAR($D$6)&amp;MONTH($D$6),dados!$A$4:$U$13934,11,FALSE),"-")</f>
        <v>55.7</v>
      </c>
      <c r="E13" s="70">
        <f>VLOOKUP(YEAR($L$3)&amp;MONTH($L$3),dados_acumulados!$A$4:$AE$14772,11,FALSE)</f>
        <v>823.0999999999998</v>
      </c>
      <c r="F13" s="70">
        <f>IFERROR(VLOOKUP(YEAR($D$6)&amp;MONTH($D$6),dados_acumulados!$A$2:$AE$14772,11,FALSE),"-")</f>
        <v>673.7</v>
      </c>
      <c r="G13" s="71">
        <f t="shared" si="3"/>
        <v>47.432762836185816</v>
      </c>
      <c r="H13" s="71">
        <f t="shared" si="4"/>
        <v>8.2585278276481038</v>
      </c>
      <c r="I13" s="76">
        <f t="shared" si="5"/>
        <v>22.176042748998032</v>
      </c>
    </row>
    <row r="14" spans="1:14" ht="30" customHeight="1" x14ac:dyDescent="0.25">
      <c r="A14" s="84" t="s">
        <v>25</v>
      </c>
      <c r="B14" s="73">
        <f>VLOOKUP(YEAR($L$3)&amp;MONTH($L$3),dados!$A$4:$U$13934,12,FALSE)</f>
        <v>94.6</v>
      </c>
      <c r="C14" s="73">
        <f>IFERROR(VLOOKUP(YEAR($C$6)&amp;MONTH($C$6),dados!$A$4:$U$13934,12,FALSE),"-")</f>
        <v>105.9</v>
      </c>
      <c r="D14" s="73">
        <f>IFERROR(VLOOKUP(YEAR($D$6)&amp;MONTH($D$6),dados!$A$4:$U$13934,12,FALSE),"-")</f>
        <v>88.2</v>
      </c>
      <c r="E14" s="33">
        <f>VLOOKUP(YEAR($L$3)&amp;MONTH($L$3),dados_acumulados!$A$4:$AE$14772,12,FALSE)</f>
        <v>1092.5</v>
      </c>
      <c r="F14" s="33">
        <f>IFERROR(VLOOKUP(YEAR($D$6)&amp;MONTH($D$6),dados_acumulados!$A$2:$AE$14772,12,FALSE),"-")</f>
        <v>1076.1999999999998</v>
      </c>
      <c r="G14" s="34">
        <f t="shared" si="3"/>
        <v>-10.670443814919746</v>
      </c>
      <c r="H14" s="34">
        <f t="shared" si="4"/>
        <v>7.2562358276643897</v>
      </c>
      <c r="I14" s="55">
        <f t="shared" si="5"/>
        <v>1.5145883664746502</v>
      </c>
    </row>
    <row r="15" spans="1:14" ht="30" customHeight="1" x14ac:dyDescent="0.25">
      <c r="A15" s="79" t="s">
        <v>26</v>
      </c>
      <c r="B15" s="75">
        <f>VLOOKUP(YEAR($L$3)&amp;MONTH($L$3),dados!$A$4:$U$13934,13,FALSE)</f>
        <v>51.7</v>
      </c>
      <c r="C15" s="75">
        <f>IFERROR(VLOOKUP(YEAR($C$6)&amp;MONTH($C$6),dados!$A$4:$U$13934,13,FALSE),"-")</f>
        <v>72.400000000000006</v>
      </c>
      <c r="D15" s="75">
        <f>IFERROR(VLOOKUP(YEAR($D$6)&amp;MONTH($D$6),dados!$A$4:$U$13934,13,FALSE),"-")</f>
        <v>69.5</v>
      </c>
      <c r="E15" s="70">
        <f>VLOOKUP(YEAR($L$3)&amp;MONTH($L$3),dados_acumulados!$A$4:$AE$14772,13,FALSE)</f>
        <v>836.40000000000009</v>
      </c>
      <c r="F15" s="70">
        <f>IFERROR(VLOOKUP(YEAR($D$6)&amp;MONTH($D$6),dados_acumulados!$A$2:$AE$14772,13,FALSE),"-")</f>
        <v>970.9</v>
      </c>
      <c r="G15" s="71">
        <f t="shared" si="3"/>
        <v>-28.591160220994478</v>
      </c>
      <c r="H15" s="71">
        <f t="shared" si="4"/>
        <v>-25.611510791366904</v>
      </c>
      <c r="I15" s="76">
        <f t="shared" si="5"/>
        <v>-13.853125965598917</v>
      </c>
    </row>
    <row r="16" spans="1:14" ht="30" customHeight="1" x14ac:dyDescent="0.25">
      <c r="A16" s="84" t="s">
        <v>27</v>
      </c>
      <c r="B16" s="73">
        <f>VLOOKUP(YEAR($L$3)&amp;MONTH($L$3),dados!$A$4:$U$13934,14,FALSE)</f>
        <v>63.5</v>
      </c>
      <c r="C16" s="73">
        <f>IFERROR(VLOOKUP(YEAR($C$6)&amp;MONTH($C$6),dados!$A$4:$U$13934,14,FALSE),"-")</f>
        <v>66.400000000000006</v>
      </c>
      <c r="D16" s="73">
        <f>IFERROR(VLOOKUP(YEAR($D$6)&amp;MONTH($D$6),dados!$A$4:$U$13934,14,FALSE),"-")</f>
        <v>118.4</v>
      </c>
      <c r="E16" s="33">
        <f>VLOOKUP(YEAR($L$3)&amp;MONTH($L$3),dados_acumulados!$A$4:$AE$14772,14,FALSE)</f>
        <v>811.9</v>
      </c>
      <c r="F16" s="33">
        <f>IFERROR(VLOOKUP(YEAR($D$6)&amp;MONTH($D$6),dados_acumulados!$A$2:$AE$14772,14,FALSE),"-")</f>
        <v>1062.5999999999999</v>
      </c>
      <c r="G16" s="34">
        <f t="shared" si="3"/>
        <v>-4.3674698795180804</v>
      </c>
      <c r="H16" s="34">
        <f t="shared" si="4"/>
        <v>-46.368243243243242</v>
      </c>
      <c r="I16" s="55">
        <f t="shared" si="5"/>
        <v>-23.593073593073587</v>
      </c>
    </row>
    <row r="17" spans="1:10" ht="30" customHeight="1" x14ac:dyDescent="0.25">
      <c r="A17" s="79" t="s">
        <v>28</v>
      </c>
      <c r="B17" s="75">
        <f>VLOOKUP(YEAR($L$3)&amp;MONTH($L$3),dados!$A$4:$U$13934,15,FALSE)</f>
        <v>72.5</v>
      </c>
      <c r="C17" s="75">
        <f>IFERROR(VLOOKUP(YEAR($C$6)&amp;MONTH($C$6),dados!$A$4:$U$13934,15,FALSE),"-")</f>
        <v>98.2</v>
      </c>
      <c r="D17" s="75">
        <f>IFERROR(VLOOKUP(YEAR($D$6)&amp;MONTH($D$6),dados!$A$4:$U$13934,15,FALSE),"-")</f>
        <v>97</v>
      </c>
      <c r="E17" s="70">
        <f>VLOOKUP(YEAR($L$3)&amp;MONTH($L$3),dados_acumulados!$A$4:$AE$14772,15,FALSE)</f>
        <v>1186.0999999999999</v>
      </c>
      <c r="F17" s="70">
        <f>IFERROR(VLOOKUP(YEAR($D$6)&amp;MONTH($D$6),dados_acumulados!$A$2:$AE$14772,15,FALSE),"-")</f>
        <v>1241.1000000000001</v>
      </c>
      <c r="G17" s="71">
        <f t="shared" si="3"/>
        <v>-26.17107942973524</v>
      </c>
      <c r="H17" s="71">
        <f t="shared" si="4"/>
        <v>-25.257731958762886</v>
      </c>
      <c r="I17" s="76">
        <f t="shared" si="5"/>
        <v>-4.4315526549029265</v>
      </c>
    </row>
    <row r="18" spans="1:10" ht="30" customHeight="1" x14ac:dyDescent="0.25">
      <c r="A18" s="84" t="s">
        <v>29</v>
      </c>
      <c r="B18" s="73">
        <f>VLOOKUP(YEAR($L$3)&amp;MONTH($L$3),dados!$A$4:$U$13934,16,FALSE)</f>
        <v>96.9</v>
      </c>
      <c r="C18" s="73">
        <f>IFERROR(VLOOKUP(YEAR($C$6)&amp;MONTH($C$6),dados!$A$4:$U$13934,16,FALSE),"-")</f>
        <v>100.1</v>
      </c>
      <c r="D18" s="73">
        <f>IFERROR(VLOOKUP(YEAR($D$6)&amp;MONTH($D$6),dados!$A$4:$U$13934,16,FALSE),"-")</f>
        <v>90.4</v>
      </c>
      <c r="E18" s="33">
        <f>VLOOKUP(YEAR($L$3)&amp;MONTH($L$3),dados_acumulados!$A$4:$AE$14772,16,FALSE)</f>
        <v>1112.0999999999999</v>
      </c>
      <c r="F18" s="33">
        <f>IFERROR(VLOOKUP(YEAR($D$6)&amp;MONTH($D$6),dados_acumulados!$A$2:$AE$14772,16,FALSE),"-")</f>
        <v>1057.1999999999998</v>
      </c>
      <c r="G18" s="34">
        <f t="shared" si="3"/>
        <v>-3.1968031968031858</v>
      </c>
      <c r="H18" s="34">
        <f t="shared" si="4"/>
        <v>7.1902654867256635</v>
      </c>
      <c r="I18" s="55">
        <f t="shared" si="5"/>
        <v>5.1929625425652759</v>
      </c>
    </row>
    <row r="19" spans="1:10" ht="30" customHeight="1" x14ac:dyDescent="0.25">
      <c r="A19" s="79" t="s">
        <v>30</v>
      </c>
      <c r="B19" s="75">
        <f>VLOOKUP(YEAR($L$3)&amp;MONTH($L$3),dados!$A$4:$U$13934,17,FALSE)</f>
        <v>72.400000000000006</v>
      </c>
      <c r="C19" s="75">
        <f>IFERROR(VLOOKUP(YEAR($C$6)&amp;MONTH($C$6),dados!$A$4:$U$13934,17,FALSE),"-")</f>
        <v>70.8</v>
      </c>
      <c r="D19" s="75">
        <f>IFERROR(VLOOKUP(YEAR($D$6)&amp;MONTH($D$6),dados!$A$4:$U$13934,17,FALSE),"-")</f>
        <v>71.2</v>
      </c>
      <c r="E19" s="70">
        <f>VLOOKUP(YEAR($L$3)&amp;MONTH($L$3),dados_acumulados!$A$4:$AE$14772,17,FALSE)</f>
        <v>816.8</v>
      </c>
      <c r="F19" s="70">
        <f>IFERROR(VLOOKUP(YEAR($D$6)&amp;MONTH($D$6),dados_acumulados!$A$2:$AE$14772,17,FALSE),"-")</f>
        <v>919.2</v>
      </c>
      <c r="G19" s="71">
        <f t="shared" si="3"/>
        <v>2.2598870056497296</v>
      </c>
      <c r="H19" s="71">
        <f t="shared" si="4"/>
        <v>1.68539325842697</v>
      </c>
      <c r="I19" s="76">
        <f t="shared" si="5"/>
        <v>-11.140121845082691</v>
      </c>
    </row>
    <row r="20" spans="1:10" ht="30" customHeight="1" x14ac:dyDescent="0.25">
      <c r="A20" s="84" t="s">
        <v>31</v>
      </c>
      <c r="B20" s="73">
        <f>VLOOKUP(YEAR($L$3)&amp;MONTH($L$3),dados!$A$4:$U$13934,18,FALSE)</f>
        <v>83.2</v>
      </c>
      <c r="C20" s="73">
        <f>IFERROR(VLOOKUP(YEAR($C$6)&amp;MONTH($C$6),dados!$A$4:$U$13934,18,FALSE),"-")</f>
        <v>82.6</v>
      </c>
      <c r="D20" s="73">
        <f>IFERROR(VLOOKUP(YEAR($D$6)&amp;MONTH($D$6),dados!$A$4:$U$13934,18,FALSE),"-")</f>
        <v>79.3</v>
      </c>
      <c r="E20" s="33">
        <f>VLOOKUP(YEAR($L$3)&amp;MONTH($L$3),dados_acumulados!$A$4:$AE$14772,18,FALSE)</f>
        <v>1082.5</v>
      </c>
      <c r="F20" s="33">
        <f>IFERROR(VLOOKUP(YEAR($D$6)&amp;MONTH($D$6),dados_acumulados!$A$2:$AE$14772,18,FALSE),"-")</f>
        <v>972.39999999999986</v>
      </c>
      <c r="G20" s="34">
        <f t="shared" si="3"/>
        <v>0.72639225181599099</v>
      </c>
      <c r="H20" s="34">
        <f t="shared" si="4"/>
        <v>4.9180327868852531</v>
      </c>
      <c r="I20" s="55">
        <f t="shared" si="5"/>
        <v>11.322501028383398</v>
      </c>
    </row>
    <row r="21" spans="1:10" ht="30" customHeight="1" x14ac:dyDescent="0.25">
      <c r="A21" s="79" t="s">
        <v>32</v>
      </c>
      <c r="B21" s="75">
        <f>VLOOKUP(YEAR($L$3)&amp;MONTH($L$3),dados!$A$4:$U$13934,19,FALSE)</f>
        <v>61.5</v>
      </c>
      <c r="C21" s="75">
        <f>IFERROR(VLOOKUP(YEAR($C$6)&amp;MONTH($C$6),dados!$A$4:$U$13934,19,FALSE),"-")</f>
        <v>95</v>
      </c>
      <c r="D21" s="75">
        <f>IFERROR(VLOOKUP(YEAR($D$6)&amp;MONTH($D$6),dados!$A$4:$U$13934,19,FALSE),"-")</f>
        <v>78.900000000000006</v>
      </c>
      <c r="E21" s="70">
        <f>VLOOKUP(YEAR($L$3)&amp;MONTH($L$3),dados_acumulados!$A$4:$AE$14772,19,FALSE)</f>
        <v>1287.8</v>
      </c>
      <c r="F21" s="70">
        <f>IFERROR(VLOOKUP(YEAR($D$6)&amp;MONTH($D$6),dados_acumulados!$A$2:$AE$14772,19,FALSE),"-")</f>
        <v>1358.0000000000002</v>
      </c>
      <c r="G21" s="71">
        <f t="shared" si="3"/>
        <v>-35.263157894736842</v>
      </c>
      <c r="H21" s="71">
        <f t="shared" si="4"/>
        <v>-22.053231939163503</v>
      </c>
      <c r="I21" s="76">
        <f t="shared" si="5"/>
        <v>-5.1693667157584873</v>
      </c>
    </row>
    <row r="22" spans="1:10" ht="30" customHeight="1" x14ac:dyDescent="0.25">
      <c r="A22" s="84" t="s">
        <v>33</v>
      </c>
      <c r="B22" s="73">
        <f>VLOOKUP(YEAR($L$3)&amp;MONTH($L$3),dados!$A$4:$U$13934,20,FALSE)</f>
        <v>8</v>
      </c>
      <c r="C22" s="73">
        <f>IFERROR(VLOOKUP(YEAR($C$6)&amp;MONTH($C$6),dados!$A$4:$U$13934,20,FALSE),"-")</f>
        <v>10.7</v>
      </c>
      <c r="D22" s="73">
        <f>IFERROR(VLOOKUP(YEAR($D$6)&amp;MONTH($D$6),dados!$A$4:$U$13934,20,FALSE),"-")</f>
        <v>4</v>
      </c>
      <c r="E22" s="33">
        <f>VLOOKUP(YEAR($L$3)&amp;MONTH($L$3),dados_acumulados!$A$4:$AE$14772,20,FALSE)</f>
        <v>96.3</v>
      </c>
      <c r="F22" s="33">
        <f>IFERROR(VLOOKUP(YEAR($D$6)&amp;MONTH($D$6),dados_acumulados!$A$2:$AE$14772,20,FALSE),"-")</f>
        <v>114.89999999999999</v>
      </c>
      <c r="G22" s="34">
        <f t="shared" si="3"/>
        <v>-25.233644859813083</v>
      </c>
      <c r="H22" s="34">
        <f t="shared" si="4"/>
        <v>100</v>
      </c>
      <c r="I22" s="55">
        <f t="shared" si="5"/>
        <v>-16.187989556135769</v>
      </c>
    </row>
    <row r="23" spans="1:10" ht="30" customHeight="1" thickBot="1" x14ac:dyDescent="0.3">
      <c r="A23" s="80" t="s">
        <v>34</v>
      </c>
      <c r="B23" s="74">
        <f>VLOOKUP(YEAR($L$3)&amp;MONTH($L$3),dados!$A$4:$U$13934,21,FALSE)</f>
        <v>86.2</v>
      </c>
      <c r="C23" s="74">
        <f>IFERROR(VLOOKUP(YEAR($C$6)&amp;MONTH($C$6),dados!$A$4:$U$13934,21,FALSE),"-")</f>
        <v>92.9</v>
      </c>
      <c r="D23" s="74">
        <f>IFERROR(VLOOKUP(YEAR($D$6)&amp;MONTH($D$6),dados!$A$4:$U$13934,21,FALSE),"-")</f>
        <v>89.8</v>
      </c>
      <c r="E23" s="35">
        <f>VLOOKUP(YEAR($L$3)&amp;MONTH($L$3),dados_acumulados!$A$4:$AE$14772,21,FALSE)</f>
        <v>1155.9000000000001</v>
      </c>
      <c r="F23" s="35">
        <f>IFERROR(VLOOKUP(YEAR($D$6)&amp;MONTH($D$6),dados_acumulados!$A$2:$AE$14772,21,FALSE),"-")</f>
        <v>1204.4999999999998</v>
      </c>
      <c r="G23" s="36">
        <f t="shared" si="3"/>
        <v>-7.2120559741657724</v>
      </c>
      <c r="H23" s="36">
        <f t="shared" si="4"/>
        <v>-4.0089086859688132</v>
      </c>
      <c r="I23" s="56">
        <f t="shared" si="5"/>
        <v>-4.0348692403486668</v>
      </c>
    </row>
    <row r="24" spans="1:10" x14ac:dyDescent="0.25">
      <c r="A24" s="81" t="s">
        <v>38</v>
      </c>
    </row>
    <row r="25" spans="1:10" x14ac:dyDescent="0.25">
      <c r="A25" s="82" t="s">
        <v>1</v>
      </c>
    </row>
    <row r="26" spans="1:10" x14ac:dyDescent="0.25">
      <c r="D26" s="61"/>
      <c r="E26" s="61"/>
      <c r="F26" s="61"/>
      <c r="G26" s="61"/>
      <c r="H26" s="61"/>
      <c r="I26" s="61"/>
      <c r="J26" s="85"/>
    </row>
    <row r="27" spans="1:10" x14ac:dyDescent="0.25">
      <c r="D27" s="61"/>
      <c r="E27" s="61"/>
      <c r="F27" s="61"/>
      <c r="G27" s="61"/>
      <c r="H27" s="61"/>
      <c r="I27" s="61"/>
      <c r="J27" s="85"/>
    </row>
    <row r="28" spans="1:10" x14ac:dyDescent="0.25">
      <c r="D28" s="61"/>
      <c r="E28" s="61"/>
      <c r="F28" s="61"/>
      <c r="G28" s="61"/>
      <c r="H28" s="61"/>
      <c r="I28" s="61"/>
      <c r="J28" s="85"/>
    </row>
    <row r="29" spans="1:10" x14ac:dyDescent="0.25">
      <c r="D29" s="61"/>
      <c r="E29" s="61"/>
      <c r="F29" s="61"/>
      <c r="G29" s="61"/>
      <c r="H29" s="61"/>
      <c r="I29" s="61"/>
      <c r="J29" s="85"/>
    </row>
    <row r="30" spans="1:10" x14ac:dyDescent="0.25">
      <c r="D30" s="61"/>
      <c r="E30" s="61"/>
      <c r="F30" s="61"/>
      <c r="G30" s="61"/>
      <c r="H30" s="61"/>
      <c r="I30" s="61"/>
      <c r="J30" s="85"/>
    </row>
    <row r="31" spans="1:10" x14ac:dyDescent="0.25">
      <c r="D31" s="61"/>
      <c r="E31" s="61"/>
      <c r="F31" s="61"/>
      <c r="G31" s="61"/>
      <c r="H31" s="61"/>
      <c r="I31" s="61"/>
      <c r="J31" s="85"/>
    </row>
    <row r="32" spans="1:10" x14ac:dyDescent="0.25">
      <c r="D32" s="61"/>
      <c r="E32" s="61"/>
      <c r="F32" s="61"/>
      <c r="G32" s="61"/>
      <c r="H32" s="61"/>
      <c r="I32" s="61"/>
      <c r="J32" s="85"/>
    </row>
    <row r="33" spans="2:10" x14ac:dyDescent="0.25">
      <c r="B33" s="58"/>
      <c r="D33" s="61"/>
      <c r="E33" s="61"/>
      <c r="F33" s="61"/>
      <c r="G33" s="61"/>
      <c r="H33" s="61"/>
      <c r="I33" s="61"/>
      <c r="J33" s="85"/>
    </row>
    <row r="34" spans="2:10" x14ac:dyDescent="0.25">
      <c r="B34" s="66"/>
      <c r="D34" s="61"/>
      <c r="E34" s="61"/>
      <c r="F34" s="61"/>
      <c r="G34" s="61"/>
      <c r="H34" s="61"/>
      <c r="I34" s="61"/>
      <c r="J34" s="85"/>
    </row>
    <row r="35" spans="2:10" x14ac:dyDescent="0.25">
      <c r="B35" s="68"/>
      <c r="D35" s="61"/>
      <c r="E35" s="61"/>
      <c r="F35" s="61"/>
      <c r="G35" s="61"/>
      <c r="H35" s="61"/>
      <c r="I35" s="61"/>
      <c r="J35" s="85"/>
    </row>
    <row r="36" spans="2:10" x14ac:dyDescent="0.25">
      <c r="D36" s="61"/>
      <c r="E36" s="61"/>
      <c r="F36" s="61"/>
      <c r="G36" s="61"/>
      <c r="H36" s="61"/>
      <c r="I36" s="61"/>
      <c r="J36" s="85"/>
    </row>
    <row r="37" spans="2:10" x14ac:dyDescent="0.25">
      <c r="D37" s="61"/>
      <c r="E37" s="61"/>
      <c r="F37" s="61"/>
      <c r="G37" s="61"/>
      <c r="H37" s="61"/>
      <c r="I37" s="61"/>
      <c r="J37" s="85"/>
    </row>
    <row r="38" spans="2:10" x14ac:dyDescent="0.25">
      <c r="D38" s="61"/>
      <c r="E38" s="61"/>
      <c r="F38" s="61"/>
      <c r="G38" s="61"/>
      <c r="H38" s="61"/>
      <c r="I38" s="61"/>
      <c r="J38" s="85"/>
    </row>
    <row r="39" spans="2:10" x14ac:dyDescent="0.25">
      <c r="D39" s="61"/>
      <c r="E39" s="61"/>
      <c r="F39" s="61"/>
      <c r="G39" s="61"/>
      <c r="H39" s="61"/>
      <c r="I39" s="61"/>
      <c r="J39" s="85"/>
    </row>
    <row r="40" spans="2:10" x14ac:dyDescent="0.25">
      <c r="D40" s="61"/>
      <c r="E40" s="61"/>
      <c r="F40" s="61"/>
      <c r="G40" s="61"/>
      <c r="H40" s="61"/>
      <c r="I40" s="61"/>
      <c r="J40" s="85"/>
    </row>
    <row r="41" spans="2:10" x14ac:dyDescent="0.25">
      <c r="D41" s="61"/>
      <c r="E41" s="61"/>
      <c r="F41" s="61"/>
      <c r="G41" s="61"/>
      <c r="H41" s="61"/>
      <c r="I41" s="61"/>
      <c r="J41" s="85"/>
    </row>
    <row r="42" spans="2:10" x14ac:dyDescent="0.25">
      <c r="D42" s="61"/>
      <c r="E42" s="61"/>
      <c r="F42" s="61"/>
      <c r="G42" s="61"/>
      <c r="H42" s="61"/>
      <c r="I42" s="61"/>
      <c r="J42" s="85"/>
    </row>
  </sheetData>
  <mergeCells count="10">
    <mergeCell ref="L2:N2"/>
    <mergeCell ref="L3:N3"/>
    <mergeCell ref="A1:I1"/>
    <mergeCell ref="A3:I3"/>
    <mergeCell ref="A4:A6"/>
    <mergeCell ref="B4:F4"/>
    <mergeCell ref="G4:I4"/>
    <mergeCell ref="G5:G6"/>
    <mergeCell ref="H5:H6"/>
    <mergeCell ref="I5:I6"/>
  </mergeCells>
  <dataValidations count="1">
    <dataValidation type="list" allowBlank="1" showInputMessage="1" showErrorMessage="1" sqref="L3:N3">
      <formula1>lista_ind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zoomScaleNormal="100" workbookViewId="0">
      <selection activeCell="A3" sqref="A3"/>
    </sheetView>
  </sheetViews>
  <sheetFormatPr defaultRowHeight="15" x14ac:dyDescent="0.25"/>
  <cols>
    <col min="1" max="1" width="32.140625" style="20" customWidth="1"/>
    <col min="2" max="2" width="12.28515625" style="9" customWidth="1"/>
    <col min="3" max="3" width="9.5703125" style="9" customWidth="1"/>
    <col min="4" max="4" width="8.42578125" style="9" customWidth="1"/>
    <col min="5" max="5" width="9.85546875" style="9" customWidth="1"/>
    <col min="6" max="6" width="11" style="9" customWidth="1"/>
    <col min="7" max="9" width="9.140625" style="9"/>
    <col min="10" max="10" width="12.140625" style="9" customWidth="1"/>
    <col min="11" max="11" width="9.140625" style="9"/>
    <col min="12" max="12" width="12" style="9" customWidth="1"/>
    <col min="13" max="14" width="9.140625" style="9"/>
    <col min="15" max="15" width="8.5703125" style="9" customWidth="1"/>
    <col min="16" max="16" width="10.85546875" style="9" customWidth="1"/>
    <col min="17" max="17" width="10.5703125" style="9" customWidth="1"/>
    <col min="18" max="18" width="11" style="9" customWidth="1"/>
    <col min="19" max="19" width="11.5703125" style="9" customWidth="1"/>
    <col min="20" max="16384" width="9.140625" style="9"/>
  </cols>
  <sheetData>
    <row r="1" spans="1:19" ht="21" x14ac:dyDescent="0.35">
      <c r="A1" s="18" t="s">
        <v>39</v>
      </c>
      <c r="C1" s="7"/>
      <c r="D1" s="8"/>
      <c r="E1" s="8"/>
    </row>
    <row r="2" spans="1:19" ht="18.75" x14ac:dyDescent="0.3">
      <c r="A2" s="19" t="s">
        <v>16</v>
      </c>
      <c r="C2" s="7"/>
      <c r="D2" s="8"/>
      <c r="E2" s="8"/>
    </row>
    <row r="3" spans="1:19" ht="15.75" thickBot="1" x14ac:dyDescent="0.3">
      <c r="C3" s="7"/>
      <c r="D3" s="8"/>
      <c r="E3" s="17"/>
    </row>
    <row r="4" spans="1:19" s="21" customFormat="1" ht="27.75" customHeight="1" x14ac:dyDescent="0.2">
      <c r="A4" s="126" t="s">
        <v>4</v>
      </c>
      <c r="B4" s="124" t="s">
        <v>5</v>
      </c>
      <c r="C4" s="128" t="s">
        <v>40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19" s="21" customFormat="1" ht="105" customHeight="1" thickBot="1" x14ac:dyDescent="0.25">
      <c r="A5" s="127"/>
      <c r="B5" s="125"/>
      <c r="C5" s="99" t="s">
        <v>20</v>
      </c>
      <c r="D5" s="99" t="s">
        <v>21</v>
      </c>
      <c r="E5" s="99" t="s">
        <v>14</v>
      </c>
      <c r="F5" s="99" t="s">
        <v>15</v>
      </c>
      <c r="G5" s="99" t="s">
        <v>22</v>
      </c>
      <c r="H5" s="99" t="s">
        <v>23</v>
      </c>
      <c r="I5" s="99" t="s">
        <v>24</v>
      </c>
      <c r="J5" s="99" t="s">
        <v>25</v>
      </c>
      <c r="K5" s="99" t="s">
        <v>26</v>
      </c>
      <c r="L5" s="99" t="s">
        <v>27</v>
      </c>
      <c r="M5" s="99" t="s">
        <v>28</v>
      </c>
      <c r="N5" s="99" t="s">
        <v>29</v>
      </c>
      <c r="O5" s="99" t="s">
        <v>30</v>
      </c>
      <c r="P5" s="99" t="s">
        <v>31</v>
      </c>
      <c r="Q5" s="99" t="s">
        <v>32</v>
      </c>
      <c r="R5" s="99" t="s">
        <v>33</v>
      </c>
      <c r="S5" s="100" t="s">
        <v>34</v>
      </c>
    </row>
    <row r="6" spans="1:19" s="21" customFormat="1" ht="12.75" x14ac:dyDescent="0.2">
      <c r="A6" s="28">
        <f>A7</f>
        <v>2017</v>
      </c>
      <c r="B6" s="29" t="s">
        <v>6</v>
      </c>
      <c r="C6" s="96">
        <f>SUM(C7:C18)</f>
        <v>1090.6999999999998</v>
      </c>
      <c r="D6" s="96">
        <f t="shared" ref="D6" si="0">SUM(D7:D18)</f>
        <v>1089.4000000000001</v>
      </c>
      <c r="E6" s="96">
        <f t="shared" ref="E6:S6" si="1">SUM(E7:E18)</f>
        <v>1280.8999999999999</v>
      </c>
      <c r="F6" s="96">
        <f t="shared" si="1"/>
        <v>1014.0999999999999</v>
      </c>
      <c r="G6" s="96">
        <f t="shared" si="1"/>
        <v>961.00000000000011</v>
      </c>
      <c r="H6" s="96">
        <f t="shared" ref="H6:I6" si="2">SUM(H7:H18)</f>
        <v>1155.4999999999998</v>
      </c>
      <c r="I6" s="96">
        <f t="shared" si="2"/>
        <v>799.6</v>
      </c>
      <c r="J6" s="96">
        <f t="shared" si="1"/>
        <v>1024.0999999999999</v>
      </c>
      <c r="K6" s="96">
        <f t="shared" ref="K6:L6" si="3">SUM(K7:K18)</f>
        <v>916.2</v>
      </c>
      <c r="L6" s="96">
        <f t="shared" si="3"/>
        <v>1000.3</v>
      </c>
      <c r="M6" s="96">
        <f t="shared" si="1"/>
        <v>1341.6</v>
      </c>
      <c r="N6" s="96">
        <f t="shared" ref="N6:O6" si="4">SUM(N7:N18)</f>
        <v>920.59999999999991</v>
      </c>
      <c r="O6" s="96">
        <f t="shared" si="4"/>
        <v>924.19999999999993</v>
      </c>
      <c r="P6" s="96">
        <f t="shared" si="1"/>
        <v>1035.0999999999999</v>
      </c>
      <c r="Q6" s="96">
        <f t="shared" ref="Q6:R6" si="5">SUM(Q7:Q18)</f>
        <v>1153</v>
      </c>
      <c r="R6" s="96">
        <f t="shared" si="5"/>
        <v>247.40000000000003</v>
      </c>
      <c r="S6" s="97">
        <f t="shared" si="1"/>
        <v>1287.3999999999999</v>
      </c>
    </row>
    <row r="7" spans="1:19" s="21" customFormat="1" ht="12.75" x14ac:dyDescent="0.2">
      <c r="A7" s="22">
        <f t="shared" ref="A7:A39" si="6">YEAR(B7)</f>
        <v>2017</v>
      </c>
      <c r="B7" s="26">
        <v>42736</v>
      </c>
      <c r="C7" s="88">
        <f>VLOOKUP($B7,dados!$D$4:$U$272,2,FALSE)</f>
        <v>88.6</v>
      </c>
      <c r="D7" s="88">
        <f>VLOOKUP($B7,dados!$D$4:$U$272,3,FALSE)</f>
        <v>89.2</v>
      </c>
      <c r="E7" s="88">
        <f>VLOOKUP($B7,dados!$D$4:$U$272,4,FALSE)</f>
        <v>112.7</v>
      </c>
      <c r="F7" s="88">
        <f>VLOOKUP($B7,dados!$D$4:$U$272,5,FALSE)</f>
        <v>79.900000000000006</v>
      </c>
      <c r="G7" s="88">
        <f>VLOOKUP($B7,dados!$D$4:$U$272,6,FALSE)</f>
        <v>83</v>
      </c>
      <c r="H7" s="88">
        <f>VLOOKUP($B7,dados!$D$4:$U$272,7,FALSE)</f>
        <v>113.1</v>
      </c>
      <c r="I7" s="88">
        <f>VLOOKUP($B7,dados!$D$4:$U$272,8,FALSE)</f>
        <v>63.2</v>
      </c>
      <c r="J7" s="88">
        <f>VLOOKUP($B7,dados!$D$4:$U$272,9,FALSE)</f>
        <v>80.3</v>
      </c>
      <c r="K7" s="88">
        <f>VLOOKUP($B7,dados!$D$4:$U$272,10,FALSE)</f>
        <v>71</v>
      </c>
      <c r="L7" s="88">
        <f>VLOOKUP($B7,dados!$D$4:$U$272,11,FALSE)</f>
        <v>81.400000000000006</v>
      </c>
      <c r="M7" s="88">
        <f>VLOOKUP($B7,dados!$D$4:$U$272,12,FALSE)</f>
        <v>105.2</v>
      </c>
      <c r="N7" s="88">
        <f>VLOOKUP($B7,dados!$D$4:$U$272,13,FALSE)</f>
        <v>72.7</v>
      </c>
      <c r="O7" s="88">
        <f>VLOOKUP($B7,dados!$D$4:$U$272,14,FALSE)</f>
        <v>75</v>
      </c>
      <c r="P7" s="88">
        <f>VLOOKUP($B7,dados!$D$4:$U$272,15,FALSE)</f>
        <v>83</v>
      </c>
      <c r="Q7" s="88">
        <f>VLOOKUP($B7,dados!$D$4:$U$272,16,FALSE)</f>
        <v>65.2</v>
      </c>
      <c r="R7" s="88">
        <f>VLOOKUP($B7,dados!$D$4:$U$272,17,FALSE)</f>
        <v>24.9</v>
      </c>
      <c r="S7" s="89">
        <f>VLOOKUP($B7,dados!$D$4:$U$272,18,FALSE)</f>
        <v>104.3</v>
      </c>
    </row>
    <row r="8" spans="1:19" s="21" customFormat="1" ht="12.75" x14ac:dyDescent="0.2">
      <c r="A8" s="22">
        <f t="shared" si="6"/>
        <v>2017</v>
      </c>
      <c r="B8" s="26">
        <v>42767</v>
      </c>
      <c r="C8" s="88">
        <f>VLOOKUP($B8,dados!$D$4:$U$272,2,FALSE)</f>
        <v>91.1</v>
      </c>
      <c r="D8" s="88">
        <f>VLOOKUP($B8,dados!$D$4:$U$272,3,FALSE)</f>
        <v>82.8</v>
      </c>
      <c r="E8" s="88">
        <f>VLOOKUP($B8,dados!$D$4:$U$272,4,FALSE)</f>
        <v>100.2</v>
      </c>
      <c r="F8" s="88">
        <f>VLOOKUP($B8,dados!$D$4:$U$272,5,FALSE)</f>
        <v>76</v>
      </c>
      <c r="G8" s="88">
        <f>VLOOKUP($B8,dados!$D$4:$U$272,6,FALSE)</f>
        <v>75.900000000000006</v>
      </c>
      <c r="H8" s="88">
        <f>VLOOKUP($B8,dados!$D$4:$U$272,7,FALSE)</f>
        <v>96</v>
      </c>
      <c r="I8" s="88">
        <f>VLOOKUP($B8,dados!$D$4:$U$272,8,FALSE)</f>
        <v>61</v>
      </c>
      <c r="J8" s="88">
        <f>VLOOKUP($B8,dados!$D$4:$U$272,9,FALSE)</f>
        <v>78.2</v>
      </c>
      <c r="K8" s="88">
        <f>VLOOKUP($B8,dados!$D$4:$U$272,10,FALSE)</f>
        <v>62.4</v>
      </c>
      <c r="L8" s="88">
        <f>VLOOKUP($B8,dados!$D$4:$U$272,11,FALSE)</f>
        <v>78.900000000000006</v>
      </c>
      <c r="M8" s="88">
        <f>VLOOKUP($B8,dados!$D$4:$U$272,12,FALSE)</f>
        <v>87.9</v>
      </c>
      <c r="N8" s="88">
        <f>VLOOKUP($B8,dados!$D$4:$U$272,13,FALSE)</f>
        <v>73.599999999999994</v>
      </c>
      <c r="O8" s="88">
        <f>VLOOKUP($B8,dados!$D$4:$U$272,14,FALSE)</f>
        <v>71.2</v>
      </c>
      <c r="P8" s="88">
        <f>VLOOKUP($B8,dados!$D$4:$U$272,15,FALSE)</f>
        <v>83.8</v>
      </c>
      <c r="Q8" s="88">
        <f>VLOOKUP($B8,dados!$D$4:$U$272,16,FALSE)</f>
        <v>69.7</v>
      </c>
      <c r="R8" s="88">
        <f>VLOOKUP($B8,dados!$D$4:$U$272,17,FALSE)</f>
        <v>20.100000000000001</v>
      </c>
      <c r="S8" s="89">
        <f>VLOOKUP($B8,dados!$D$4:$U$272,18,FALSE)</f>
        <v>100.4</v>
      </c>
    </row>
    <row r="9" spans="1:19" s="21" customFormat="1" ht="12.75" x14ac:dyDescent="0.2">
      <c r="A9" s="22">
        <f t="shared" si="6"/>
        <v>2017</v>
      </c>
      <c r="B9" s="26">
        <v>42795</v>
      </c>
      <c r="C9" s="88">
        <f>VLOOKUP($B9,dados!$D$4:$U$272,2,FALSE)</f>
        <v>90</v>
      </c>
      <c r="D9" s="88">
        <f>VLOOKUP($B9,dados!$D$4:$U$272,3,FALSE)</f>
        <v>90.2</v>
      </c>
      <c r="E9" s="88">
        <f>VLOOKUP($B9,dados!$D$4:$U$272,4,FALSE)</f>
        <v>102.6</v>
      </c>
      <c r="F9" s="88">
        <f>VLOOKUP($B9,dados!$D$4:$U$272,5,FALSE)</f>
        <v>85.4</v>
      </c>
      <c r="G9" s="88">
        <f>VLOOKUP($B9,dados!$D$4:$U$272,6,FALSE)</f>
        <v>90.5</v>
      </c>
      <c r="H9" s="88">
        <f>VLOOKUP($B9,dados!$D$4:$U$272,7,FALSE)</f>
        <v>96.9</v>
      </c>
      <c r="I9" s="88">
        <f>VLOOKUP($B9,dados!$D$4:$U$272,8,FALSE)</f>
        <v>63</v>
      </c>
      <c r="J9" s="88">
        <f>VLOOKUP($B9,dados!$D$4:$U$272,9,FALSE)</f>
        <v>86.4</v>
      </c>
      <c r="K9" s="88">
        <f>VLOOKUP($B9,dados!$D$4:$U$272,10,FALSE)</f>
        <v>72.3</v>
      </c>
      <c r="L9" s="88">
        <f>VLOOKUP($B9,dados!$D$4:$U$272,11,FALSE)</f>
        <v>83.6</v>
      </c>
      <c r="M9" s="88">
        <f>VLOOKUP($B9,dados!$D$4:$U$272,12,FALSE)</f>
        <v>96.7</v>
      </c>
      <c r="N9" s="88">
        <f>VLOOKUP($B9,dados!$D$4:$U$272,13,FALSE)</f>
        <v>78.2</v>
      </c>
      <c r="O9" s="88">
        <f>VLOOKUP($B9,dados!$D$4:$U$272,14,FALSE)</f>
        <v>82.1</v>
      </c>
      <c r="P9" s="88">
        <f>VLOOKUP($B9,dados!$D$4:$U$272,15,FALSE)</f>
        <v>91.8</v>
      </c>
      <c r="Q9" s="88">
        <f>VLOOKUP($B9,dados!$D$4:$U$272,16,FALSE)</f>
        <v>95.2</v>
      </c>
      <c r="R9" s="88">
        <f>VLOOKUP($B9,dados!$D$4:$U$272,17,FALSE)</f>
        <v>22.9</v>
      </c>
      <c r="S9" s="89">
        <f>VLOOKUP($B9,dados!$D$4:$U$272,18,FALSE)</f>
        <v>105</v>
      </c>
    </row>
    <row r="10" spans="1:19" s="21" customFormat="1" ht="12.75" x14ac:dyDescent="0.2">
      <c r="A10" s="22">
        <f t="shared" si="6"/>
        <v>2017</v>
      </c>
      <c r="B10" s="26">
        <v>42826</v>
      </c>
      <c r="C10" s="88">
        <f>VLOOKUP($B10,dados!$D$4:$U$272,2,FALSE)</f>
        <v>89.7</v>
      </c>
      <c r="D10" s="88">
        <f>VLOOKUP($B10,dados!$D$4:$U$272,3,FALSE)</f>
        <v>85.9</v>
      </c>
      <c r="E10" s="88">
        <f>VLOOKUP($B10,dados!$D$4:$U$272,4,FALSE)</f>
        <v>99.6</v>
      </c>
      <c r="F10" s="88">
        <f>VLOOKUP($B10,dados!$D$4:$U$272,5,FALSE)</f>
        <v>80.5</v>
      </c>
      <c r="G10" s="88">
        <f>VLOOKUP($B10,dados!$D$4:$U$272,6,FALSE)</f>
        <v>69.400000000000006</v>
      </c>
      <c r="H10" s="88">
        <f>VLOOKUP($B10,dados!$D$4:$U$272,7,FALSE)</f>
        <v>61.9</v>
      </c>
      <c r="I10" s="88">
        <f>VLOOKUP($B10,dados!$D$4:$U$272,8,FALSE)</f>
        <v>72.400000000000006</v>
      </c>
      <c r="J10" s="88">
        <f>VLOOKUP($B10,dados!$D$4:$U$272,9,FALSE)</f>
        <v>88.5</v>
      </c>
      <c r="K10" s="88">
        <f>VLOOKUP($B10,dados!$D$4:$U$272,10,FALSE)</f>
        <v>60.2</v>
      </c>
      <c r="L10" s="88">
        <f>VLOOKUP($B10,dados!$D$4:$U$272,11,FALSE)</f>
        <v>75.5</v>
      </c>
      <c r="M10" s="88">
        <f>VLOOKUP($B10,dados!$D$4:$U$272,12,FALSE)</f>
        <v>108.2</v>
      </c>
      <c r="N10" s="88">
        <f>VLOOKUP($B10,dados!$D$4:$U$272,13,FALSE)</f>
        <v>69.900000000000006</v>
      </c>
      <c r="O10" s="88">
        <f>VLOOKUP($B10,dados!$D$4:$U$272,14,FALSE)</f>
        <v>82.2</v>
      </c>
      <c r="P10" s="88">
        <f>VLOOKUP($B10,dados!$D$4:$U$272,15,FALSE)</f>
        <v>86.7</v>
      </c>
      <c r="Q10" s="88">
        <f>VLOOKUP($B10,dados!$D$4:$U$272,16,FALSE)</f>
        <v>75.900000000000006</v>
      </c>
      <c r="R10" s="88">
        <f>VLOOKUP($B10,dados!$D$4:$U$272,17,FALSE)</f>
        <v>17.5</v>
      </c>
      <c r="S10" s="89">
        <f>VLOOKUP($B10,dados!$D$4:$U$272,18,FALSE)</f>
        <v>102.4</v>
      </c>
    </row>
    <row r="11" spans="1:19" s="21" customFormat="1" ht="12.75" x14ac:dyDescent="0.2">
      <c r="A11" s="22">
        <f t="shared" si="6"/>
        <v>2017</v>
      </c>
      <c r="B11" s="26">
        <v>42856</v>
      </c>
      <c r="C11" s="88">
        <f>VLOOKUP($B11,dados!$D$4:$U$272,2,FALSE)</f>
        <v>88.2</v>
      </c>
      <c r="D11" s="88">
        <f>VLOOKUP($B11,dados!$D$4:$U$272,3,FALSE)</f>
        <v>89.3</v>
      </c>
      <c r="E11" s="88">
        <f>VLOOKUP($B11,dados!$D$4:$U$272,4,FALSE)</f>
        <v>108.4</v>
      </c>
      <c r="F11" s="88">
        <f>VLOOKUP($B11,dados!$D$4:$U$272,5,FALSE)</f>
        <v>81.7</v>
      </c>
      <c r="G11" s="88">
        <f>VLOOKUP($B11,dados!$D$4:$U$272,6,FALSE)</f>
        <v>71.400000000000006</v>
      </c>
      <c r="H11" s="88">
        <f>VLOOKUP($B11,dados!$D$4:$U$272,7,FALSE)</f>
        <v>75.900000000000006</v>
      </c>
      <c r="I11" s="88">
        <f>VLOOKUP($B11,dados!$D$4:$U$272,8,FALSE)</f>
        <v>70</v>
      </c>
      <c r="J11" s="88">
        <f>VLOOKUP($B11,dados!$D$4:$U$272,9,FALSE)</f>
        <v>85.1</v>
      </c>
      <c r="K11" s="88">
        <f>VLOOKUP($B11,dados!$D$4:$U$272,10,FALSE)</f>
        <v>66.2</v>
      </c>
      <c r="L11" s="88">
        <f>VLOOKUP($B11,dados!$D$4:$U$272,11,FALSE)</f>
        <v>69.2</v>
      </c>
      <c r="M11" s="88">
        <f>VLOOKUP($B11,dados!$D$4:$U$272,12,FALSE)</f>
        <v>104.2</v>
      </c>
      <c r="N11" s="88">
        <f>VLOOKUP($B11,dados!$D$4:$U$272,13,FALSE)</f>
        <v>79.400000000000006</v>
      </c>
      <c r="O11" s="88">
        <f>VLOOKUP($B11,dados!$D$4:$U$272,14,FALSE)</f>
        <v>75.7</v>
      </c>
      <c r="P11" s="88">
        <f>VLOOKUP($B11,dados!$D$4:$U$272,15,FALSE)</f>
        <v>89.1</v>
      </c>
      <c r="Q11" s="88">
        <f>VLOOKUP($B11,dados!$D$4:$U$272,16,FALSE)</f>
        <v>97.2</v>
      </c>
      <c r="R11" s="88">
        <f>VLOOKUP($B11,dados!$D$4:$U$272,17,FALSE)</f>
        <v>24.7</v>
      </c>
      <c r="S11" s="89">
        <f>VLOOKUP($B11,dados!$D$4:$U$272,18,FALSE)</f>
        <v>112.8</v>
      </c>
    </row>
    <row r="12" spans="1:19" s="21" customFormat="1" ht="12.75" x14ac:dyDescent="0.2">
      <c r="A12" s="22">
        <f t="shared" si="6"/>
        <v>2017</v>
      </c>
      <c r="B12" s="26">
        <v>42887</v>
      </c>
      <c r="C12" s="88">
        <f>VLOOKUP($B12,dados!$D$4:$U$272,2,FALSE)</f>
        <v>89.5</v>
      </c>
      <c r="D12" s="88">
        <f>VLOOKUP($B12,dados!$D$4:$U$272,3,FALSE)</f>
        <v>89.1</v>
      </c>
      <c r="E12" s="88">
        <f>VLOOKUP($B12,dados!$D$4:$U$272,4,FALSE)</f>
        <v>106.4</v>
      </c>
      <c r="F12" s="88">
        <f>VLOOKUP($B12,dados!$D$4:$U$272,5,FALSE)</f>
        <v>82.3</v>
      </c>
      <c r="G12" s="88">
        <f>VLOOKUP($B12,dados!$D$4:$U$272,6,FALSE)</f>
        <v>66.5</v>
      </c>
      <c r="H12" s="88">
        <f>VLOOKUP($B12,dados!$D$4:$U$272,7,FALSE)</f>
        <v>81.8</v>
      </c>
      <c r="I12" s="88">
        <f>VLOOKUP($B12,dados!$D$4:$U$272,8,FALSE)</f>
        <v>68.7</v>
      </c>
      <c r="J12" s="88">
        <f>VLOOKUP($B12,dados!$D$4:$U$272,9,FALSE)</f>
        <v>91.2</v>
      </c>
      <c r="K12" s="88">
        <f>VLOOKUP($B12,dados!$D$4:$U$272,10,FALSE)</f>
        <v>71.5</v>
      </c>
      <c r="L12" s="88">
        <f>VLOOKUP($B12,dados!$D$4:$U$272,11,FALSE)</f>
        <v>73.099999999999994</v>
      </c>
      <c r="M12" s="88">
        <f>VLOOKUP($B12,dados!$D$4:$U$272,12,FALSE)</f>
        <v>114.4</v>
      </c>
      <c r="N12" s="88">
        <f>VLOOKUP($B12,dados!$D$4:$U$272,13,FALSE)</f>
        <v>75.8</v>
      </c>
      <c r="O12" s="88">
        <f>VLOOKUP($B12,dados!$D$4:$U$272,14,FALSE)</f>
        <v>73.5</v>
      </c>
      <c r="P12" s="88">
        <f>VLOOKUP($B12,dados!$D$4:$U$272,15,FALSE)</f>
        <v>96.8</v>
      </c>
      <c r="Q12" s="88">
        <f>VLOOKUP($B12,dados!$D$4:$U$272,16,FALSE)</f>
        <v>69.900000000000006</v>
      </c>
      <c r="R12" s="88">
        <f>VLOOKUP($B12,dados!$D$4:$U$272,17,FALSE)</f>
        <v>24.4</v>
      </c>
      <c r="S12" s="89">
        <f>VLOOKUP($B12,dados!$D$4:$U$272,18,FALSE)</f>
        <v>108.3</v>
      </c>
    </row>
    <row r="13" spans="1:19" s="21" customFormat="1" ht="12.75" x14ac:dyDescent="0.2">
      <c r="A13" s="22">
        <f t="shared" si="6"/>
        <v>2017</v>
      </c>
      <c r="B13" s="26">
        <v>42917</v>
      </c>
      <c r="C13" s="88">
        <f>VLOOKUP($B13,dados!$D$4:$U$272,2,FALSE)</f>
        <v>84.4</v>
      </c>
      <c r="D13" s="88">
        <f>VLOOKUP($B13,dados!$D$4:$U$272,3,FALSE)</f>
        <v>86.2</v>
      </c>
      <c r="E13" s="88">
        <f>VLOOKUP($B13,dados!$D$4:$U$272,4,FALSE)</f>
        <v>113.2</v>
      </c>
      <c r="F13" s="88">
        <f>VLOOKUP($B13,dados!$D$4:$U$272,5,FALSE)</f>
        <v>75.599999999999994</v>
      </c>
      <c r="G13" s="88">
        <f>VLOOKUP($B13,dados!$D$4:$U$272,6,FALSE)</f>
        <v>72.5</v>
      </c>
      <c r="H13" s="88">
        <f>VLOOKUP($B13,dados!$D$4:$U$272,7,FALSE)</f>
        <v>72.900000000000006</v>
      </c>
      <c r="I13" s="88">
        <f>VLOOKUP($B13,dados!$D$4:$U$272,8,FALSE)</f>
        <v>68.400000000000006</v>
      </c>
      <c r="J13" s="88">
        <f>VLOOKUP($B13,dados!$D$4:$U$272,9,FALSE)</f>
        <v>68.7</v>
      </c>
      <c r="K13" s="88">
        <f>VLOOKUP($B13,dados!$D$4:$U$272,10,FALSE)</f>
        <v>76.8</v>
      </c>
      <c r="L13" s="88">
        <f>VLOOKUP($B13,dados!$D$4:$U$272,11,FALSE)</f>
        <v>59.7</v>
      </c>
      <c r="M13" s="88">
        <f>VLOOKUP($B13,dados!$D$4:$U$272,12,FALSE)</f>
        <v>133.1</v>
      </c>
      <c r="N13" s="88">
        <f>VLOOKUP($B13,dados!$D$4:$U$272,13,FALSE)</f>
        <v>83.4</v>
      </c>
      <c r="O13" s="88">
        <f>VLOOKUP($B13,dados!$D$4:$U$272,14,FALSE)</f>
        <v>66.7</v>
      </c>
      <c r="P13" s="88">
        <f>VLOOKUP($B13,dados!$D$4:$U$272,15,FALSE)</f>
        <v>93</v>
      </c>
      <c r="Q13" s="88">
        <f>VLOOKUP($B13,dados!$D$4:$U$272,16,FALSE)</f>
        <v>96.7</v>
      </c>
      <c r="R13" s="88">
        <f>VLOOKUP($B13,dados!$D$4:$U$272,17,FALSE)</f>
        <v>21.9</v>
      </c>
      <c r="S13" s="89">
        <f>VLOOKUP($B13,dados!$D$4:$U$272,18,FALSE)</f>
        <v>110.5</v>
      </c>
    </row>
    <row r="14" spans="1:19" s="21" customFormat="1" ht="12.75" x14ac:dyDescent="0.2">
      <c r="A14" s="22">
        <f t="shared" si="6"/>
        <v>2017</v>
      </c>
      <c r="B14" s="26">
        <v>42948</v>
      </c>
      <c r="C14" s="88">
        <f>VLOOKUP($B14,dados!$D$4:$U$272,2,FALSE)</f>
        <v>88.1</v>
      </c>
      <c r="D14" s="88">
        <f>VLOOKUP($B14,dados!$D$4:$U$272,3,FALSE)</f>
        <v>91.2</v>
      </c>
      <c r="E14" s="88">
        <f>VLOOKUP($B14,dados!$D$4:$U$272,4,FALSE)</f>
        <v>103.5</v>
      </c>
      <c r="F14" s="88">
        <f>VLOOKUP($B14,dados!$D$4:$U$272,5,FALSE)</f>
        <v>86.3</v>
      </c>
      <c r="G14" s="88">
        <f>VLOOKUP($B14,dados!$D$4:$U$272,6,FALSE)</f>
        <v>82.7</v>
      </c>
      <c r="H14" s="88">
        <f>VLOOKUP($B14,dados!$D$4:$U$272,7,FALSE)</f>
        <v>86.4</v>
      </c>
      <c r="I14" s="88">
        <f>VLOOKUP($B14,dados!$D$4:$U$272,8,FALSE)</f>
        <v>66.900000000000006</v>
      </c>
      <c r="J14" s="88">
        <f>VLOOKUP($B14,dados!$D$4:$U$272,9,FALSE)</f>
        <v>74.599999999999994</v>
      </c>
      <c r="K14" s="88">
        <f>VLOOKUP($B14,dados!$D$4:$U$272,10,FALSE)</f>
        <v>85.2</v>
      </c>
      <c r="L14" s="88">
        <f>VLOOKUP($B14,dados!$D$4:$U$272,11,FALSE)</f>
        <v>110.7</v>
      </c>
      <c r="M14" s="88">
        <f>VLOOKUP($B14,dados!$D$4:$U$272,12,FALSE)</f>
        <v>139.9</v>
      </c>
      <c r="N14" s="88">
        <f>VLOOKUP($B14,dados!$D$4:$U$272,13,FALSE)</f>
        <v>87.4</v>
      </c>
      <c r="O14" s="88">
        <f>VLOOKUP($B14,dados!$D$4:$U$272,14,FALSE)</f>
        <v>78.900000000000006</v>
      </c>
      <c r="P14" s="88">
        <f>VLOOKUP($B14,dados!$D$4:$U$272,15,FALSE)</f>
        <v>76.7</v>
      </c>
      <c r="Q14" s="88">
        <f>VLOOKUP($B14,dados!$D$4:$U$272,16,FALSE)</f>
        <v>130.19999999999999</v>
      </c>
      <c r="R14" s="88">
        <f>VLOOKUP($B14,dados!$D$4:$U$272,17,FALSE)</f>
        <v>24.1</v>
      </c>
      <c r="S14" s="89">
        <f>VLOOKUP($B14,dados!$D$4:$U$272,18,FALSE)</f>
        <v>106</v>
      </c>
    </row>
    <row r="15" spans="1:19" s="21" customFormat="1" ht="12.75" x14ac:dyDescent="0.2">
      <c r="A15" s="22">
        <f t="shared" si="6"/>
        <v>2017</v>
      </c>
      <c r="B15" s="26">
        <v>42979</v>
      </c>
      <c r="C15" s="88">
        <f>VLOOKUP($B15,dados!$D$4:$U$272,2,FALSE)</f>
        <v>96.1</v>
      </c>
      <c r="D15" s="88">
        <f>VLOOKUP($B15,dados!$D$4:$U$272,3,FALSE)</f>
        <v>94.2</v>
      </c>
      <c r="E15" s="88">
        <f>VLOOKUP($B15,dados!$D$4:$U$272,4,FALSE)</f>
        <v>107.2</v>
      </c>
      <c r="F15" s="88">
        <f>VLOOKUP($B15,dados!$D$4:$U$272,5,FALSE)</f>
        <v>89.1</v>
      </c>
      <c r="G15" s="88">
        <f>VLOOKUP($B15,dados!$D$4:$U$272,6,FALSE)</f>
        <v>82</v>
      </c>
      <c r="H15" s="88">
        <f>VLOOKUP($B15,dados!$D$4:$U$272,7,FALSE)</f>
        <v>97.3</v>
      </c>
      <c r="I15" s="88">
        <f>VLOOKUP($B15,dados!$D$4:$U$272,8,FALSE)</f>
        <v>70.5</v>
      </c>
      <c r="J15" s="88">
        <f>VLOOKUP($B15,dados!$D$4:$U$272,9,FALSE)</f>
        <v>88.4</v>
      </c>
      <c r="K15" s="88">
        <f>VLOOKUP($B15,dados!$D$4:$U$272,10,FALSE)</f>
        <v>90</v>
      </c>
      <c r="L15" s="88">
        <f>VLOOKUP($B15,dados!$D$4:$U$272,11,FALSE)</f>
        <v>109.4</v>
      </c>
      <c r="M15" s="88">
        <f>VLOOKUP($B15,dados!$D$4:$U$272,12,FALSE)</f>
        <v>117.1</v>
      </c>
      <c r="N15" s="88">
        <f>VLOOKUP($B15,dados!$D$4:$U$272,13,FALSE)</f>
        <v>77.5</v>
      </c>
      <c r="O15" s="88">
        <f>VLOOKUP($B15,dados!$D$4:$U$272,14,FALSE)</f>
        <v>76.099999999999994</v>
      </c>
      <c r="P15" s="88">
        <f>VLOOKUP($B15,dados!$D$4:$U$272,15,FALSE)</f>
        <v>78.3</v>
      </c>
      <c r="Q15" s="88">
        <f>VLOOKUP($B15,dados!$D$4:$U$272,16,FALSE)</f>
        <v>114.3</v>
      </c>
      <c r="R15" s="88">
        <f>VLOOKUP($B15,dados!$D$4:$U$272,17,FALSE)</f>
        <v>17.899999999999999</v>
      </c>
      <c r="S15" s="89">
        <f>VLOOKUP($B15,dados!$D$4:$U$272,18,FALSE)</f>
        <v>102.6</v>
      </c>
    </row>
    <row r="16" spans="1:19" s="21" customFormat="1" ht="12.75" x14ac:dyDescent="0.2">
      <c r="A16" s="22">
        <f t="shared" si="6"/>
        <v>2017</v>
      </c>
      <c r="B16" s="26">
        <v>43009</v>
      </c>
      <c r="C16" s="88">
        <f>VLOOKUP($B16,dados!$D$4:$U$272,2,FALSE)</f>
        <v>96.1</v>
      </c>
      <c r="D16" s="88">
        <f>VLOOKUP($B16,dados!$D$4:$U$272,3,FALSE)</f>
        <v>101.2</v>
      </c>
      <c r="E16" s="88">
        <f>VLOOKUP($B16,dados!$D$4:$U$272,4,FALSE)</f>
        <v>112.4</v>
      </c>
      <c r="F16" s="88">
        <f>VLOOKUP($B16,dados!$D$4:$U$272,5,FALSE)</f>
        <v>96.8</v>
      </c>
      <c r="G16" s="88">
        <f>VLOOKUP($B16,dados!$D$4:$U$272,6,FALSE)</f>
        <v>87.3</v>
      </c>
      <c r="H16" s="88">
        <f>VLOOKUP($B16,dados!$D$4:$U$272,7,FALSE)</f>
        <v>123</v>
      </c>
      <c r="I16" s="88">
        <f>VLOOKUP($B16,dados!$D$4:$U$272,8,FALSE)</f>
        <v>78.400000000000006</v>
      </c>
      <c r="J16" s="88">
        <f>VLOOKUP($B16,dados!$D$4:$U$272,9,FALSE)</f>
        <v>101.1</v>
      </c>
      <c r="K16" s="88">
        <f>VLOOKUP($B16,dados!$D$4:$U$272,10,FALSE)</f>
        <v>86.6</v>
      </c>
      <c r="L16" s="88">
        <f>VLOOKUP($B16,dados!$D$4:$U$272,11,FALSE)</f>
        <v>78.099999999999994</v>
      </c>
      <c r="M16" s="88">
        <f>VLOOKUP($B16,dados!$D$4:$U$272,12,FALSE)</f>
        <v>120.8</v>
      </c>
      <c r="N16" s="88">
        <f>VLOOKUP($B16,dados!$D$4:$U$272,13,FALSE)</f>
        <v>74.400000000000006</v>
      </c>
      <c r="O16" s="88">
        <f>VLOOKUP($B16,dados!$D$4:$U$272,14,FALSE)</f>
        <v>83.9</v>
      </c>
      <c r="P16" s="88">
        <f>VLOOKUP($B16,dados!$D$4:$U$272,15,FALSE)</f>
        <v>86.6</v>
      </c>
      <c r="Q16" s="88">
        <f>VLOOKUP($B16,dados!$D$4:$U$272,16,FALSE)</f>
        <v>125.7</v>
      </c>
      <c r="R16" s="88">
        <f>VLOOKUP($B16,dados!$D$4:$U$272,17,FALSE)</f>
        <v>17.399999999999999</v>
      </c>
      <c r="S16" s="89">
        <f>VLOOKUP($B16,dados!$D$4:$U$272,18,FALSE)</f>
        <v>116.5</v>
      </c>
    </row>
    <row r="17" spans="1:19" s="21" customFormat="1" ht="12.75" x14ac:dyDescent="0.2">
      <c r="A17" s="22">
        <f t="shared" si="6"/>
        <v>2017</v>
      </c>
      <c r="B17" s="26">
        <v>43040</v>
      </c>
      <c r="C17" s="88">
        <f>VLOOKUP($B17,dados!$D$4:$U$272,2,FALSE)</f>
        <v>94.8</v>
      </c>
      <c r="D17" s="88">
        <f>VLOOKUP($B17,dados!$D$4:$U$272,3,FALSE)</f>
        <v>96.1</v>
      </c>
      <c r="E17" s="88">
        <f>VLOOKUP($B17,dados!$D$4:$U$272,4,FALSE)</f>
        <v>107.6</v>
      </c>
      <c r="F17" s="88">
        <f>VLOOKUP($B17,dados!$D$4:$U$272,5,FALSE)</f>
        <v>91.6</v>
      </c>
      <c r="G17" s="88">
        <f>VLOOKUP($B17,dados!$D$4:$U$272,6,FALSE)</f>
        <v>86.6</v>
      </c>
      <c r="H17" s="88">
        <f>VLOOKUP($B17,dados!$D$4:$U$272,7,FALSE)</f>
        <v>123.6</v>
      </c>
      <c r="I17" s="88">
        <f>VLOOKUP($B17,dados!$D$4:$U$272,8,FALSE)</f>
        <v>60.2</v>
      </c>
      <c r="J17" s="88">
        <f>VLOOKUP($B17,dados!$D$4:$U$272,9,FALSE)</f>
        <v>85.8</v>
      </c>
      <c r="K17" s="88">
        <f>VLOOKUP($B17,dados!$D$4:$U$272,10,FALSE)</f>
        <v>93.8</v>
      </c>
      <c r="L17" s="88">
        <f>VLOOKUP($B17,dados!$D$4:$U$272,11,FALSE)</f>
        <v>101.4</v>
      </c>
      <c r="M17" s="88">
        <f>VLOOKUP($B17,dados!$D$4:$U$272,12,FALSE)</f>
        <v>114.5</v>
      </c>
      <c r="N17" s="88">
        <f>VLOOKUP($B17,dados!$D$4:$U$272,13,FALSE)</f>
        <v>79.400000000000006</v>
      </c>
      <c r="O17" s="88">
        <f>VLOOKUP($B17,dados!$D$4:$U$272,14,FALSE)</f>
        <v>83.9</v>
      </c>
      <c r="P17" s="88">
        <f>VLOOKUP($B17,dados!$D$4:$U$272,15,FALSE)</f>
        <v>92.1</v>
      </c>
      <c r="Q17" s="88">
        <f>VLOOKUP($B17,dados!$D$4:$U$272,16,FALSE)</f>
        <v>119.8</v>
      </c>
      <c r="R17" s="88">
        <f>VLOOKUP($B17,dados!$D$4:$U$272,17,FALSE)</f>
        <v>17.8</v>
      </c>
      <c r="S17" s="89">
        <f>VLOOKUP($B17,dados!$D$4:$U$272,18,FALSE)</f>
        <v>108.1</v>
      </c>
    </row>
    <row r="18" spans="1:19" s="21" customFormat="1" ht="12.75" x14ac:dyDescent="0.2">
      <c r="A18" s="22">
        <f t="shared" si="6"/>
        <v>2017</v>
      </c>
      <c r="B18" s="26">
        <v>43070</v>
      </c>
      <c r="C18" s="88">
        <f>VLOOKUP($B18,dados!$D$4:$U$272,2,FALSE)</f>
        <v>94.1</v>
      </c>
      <c r="D18" s="88">
        <f>VLOOKUP($B18,dados!$D$4:$U$272,3,FALSE)</f>
        <v>94</v>
      </c>
      <c r="E18" s="88">
        <f>VLOOKUP($B18,dados!$D$4:$U$272,4,FALSE)</f>
        <v>107.1</v>
      </c>
      <c r="F18" s="88">
        <f>VLOOKUP($B18,dados!$D$4:$U$272,5,FALSE)</f>
        <v>88.9</v>
      </c>
      <c r="G18" s="88">
        <f>VLOOKUP($B18,dados!$D$4:$U$272,6,FALSE)</f>
        <v>93.2</v>
      </c>
      <c r="H18" s="88">
        <f>VLOOKUP($B18,dados!$D$4:$U$272,7,FALSE)</f>
        <v>126.7</v>
      </c>
      <c r="I18" s="88">
        <f>VLOOKUP($B18,dados!$D$4:$U$272,8,FALSE)</f>
        <v>56.9</v>
      </c>
      <c r="J18" s="88">
        <f>VLOOKUP($B18,dados!$D$4:$U$272,9,FALSE)</f>
        <v>95.8</v>
      </c>
      <c r="K18" s="88">
        <f>VLOOKUP($B18,dados!$D$4:$U$272,10,FALSE)</f>
        <v>80.2</v>
      </c>
      <c r="L18" s="88">
        <f>VLOOKUP($B18,dados!$D$4:$U$272,11,FALSE)</f>
        <v>79.3</v>
      </c>
      <c r="M18" s="88">
        <f>VLOOKUP($B18,dados!$D$4:$U$272,12,FALSE)</f>
        <v>99.6</v>
      </c>
      <c r="N18" s="88">
        <f>VLOOKUP($B18,dados!$D$4:$U$272,13,FALSE)</f>
        <v>68.900000000000006</v>
      </c>
      <c r="O18" s="88">
        <f>VLOOKUP($B18,dados!$D$4:$U$272,14,FALSE)</f>
        <v>75</v>
      </c>
      <c r="P18" s="88">
        <f>VLOOKUP($B18,dados!$D$4:$U$272,15,FALSE)</f>
        <v>77.2</v>
      </c>
      <c r="Q18" s="88">
        <f>VLOOKUP($B18,dados!$D$4:$U$272,16,FALSE)</f>
        <v>93.2</v>
      </c>
      <c r="R18" s="88">
        <f>VLOOKUP($B18,dados!$D$4:$U$272,17,FALSE)</f>
        <v>13.8</v>
      </c>
      <c r="S18" s="89">
        <f>VLOOKUP($B18,dados!$D$4:$U$272,18,FALSE)</f>
        <v>110.5</v>
      </c>
    </row>
    <row r="19" spans="1:19" s="21" customFormat="1" ht="12.75" x14ac:dyDescent="0.2">
      <c r="A19" s="22"/>
      <c r="B19" s="26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9"/>
    </row>
    <row r="20" spans="1:19" s="21" customFormat="1" ht="12.75" x14ac:dyDescent="0.2">
      <c r="A20" s="30">
        <f>A21</f>
        <v>2018</v>
      </c>
      <c r="B20" s="27" t="s">
        <v>6</v>
      </c>
      <c r="C20" s="86">
        <f>SUM(C21:C32)</f>
        <v>1113</v>
      </c>
      <c r="D20" s="86">
        <f t="shared" ref="D20" si="7">SUM(D21:D32)</f>
        <v>1112.5999999999999</v>
      </c>
      <c r="E20" s="86">
        <f t="shared" ref="E20:S20" si="8">SUM(E21:E32)</f>
        <v>1269.8</v>
      </c>
      <c r="F20" s="86">
        <f t="shared" si="8"/>
        <v>1050.6000000000001</v>
      </c>
      <c r="G20" s="86">
        <f t="shared" si="8"/>
        <v>1168.8</v>
      </c>
      <c r="H20" s="86">
        <f t="shared" ref="H20:I20" si="9">SUM(H21:H32)</f>
        <v>1102</v>
      </c>
      <c r="I20" s="86">
        <f t="shared" si="9"/>
        <v>673.7</v>
      </c>
      <c r="J20" s="86">
        <f t="shared" si="8"/>
        <v>1076.1999999999998</v>
      </c>
      <c r="K20" s="86">
        <f t="shared" ref="K20:L20" si="10">SUM(K21:K32)</f>
        <v>970.9</v>
      </c>
      <c r="L20" s="86">
        <f t="shared" si="10"/>
        <v>1062.5999999999999</v>
      </c>
      <c r="M20" s="86">
        <f t="shared" si="8"/>
        <v>1241.1000000000001</v>
      </c>
      <c r="N20" s="86">
        <f t="shared" ref="N20:O20" si="11">SUM(N21:N32)</f>
        <v>1057.1999999999998</v>
      </c>
      <c r="O20" s="86">
        <f t="shared" si="11"/>
        <v>919.2</v>
      </c>
      <c r="P20" s="86">
        <f t="shared" si="8"/>
        <v>972.39999999999986</v>
      </c>
      <c r="Q20" s="86">
        <f t="shared" ref="Q20:R20" si="12">SUM(Q21:Q32)</f>
        <v>1358.0000000000002</v>
      </c>
      <c r="R20" s="86">
        <f t="shared" si="12"/>
        <v>114.89999999999999</v>
      </c>
      <c r="S20" s="87">
        <f t="shared" si="8"/>
        <v>1204.4999999999998</v>
      </c>
    </row>
    <row r="21" spans="1:19" s="21" customFormat="1" ht="12.75" x14ac:dyDescent="0.2">
      <c r="A21" s="22">
        <f t="shared" si="6"/>
        <v>2018</v>
      </c>
      <c r="B21" s="26">
        <v>43101</v>
      </c>
      <c r="C21" s="88">
        <f>VLOOKUP($B21,dados!$D$4:$U$272,2,FALSE)</f>
        <v>92.9</v>
      </c>
      <c r="D21" s="88">
        <f>VLOOKUP($B21,dados!$D$4:$U$272,3,FALSE)</f>
        <v>94.2</v>
      </c>
      <c r="E21" s="88">
        <f>VLOOKUP($B21,dados!$D$4:$U$272,4,FALSE)</f>
        <v>110.3</v>
      </c>
      <c r="F21" s="88">
        <f>VLOOKUP($B21,dados!$D$4:$U$272,5,FALSE)</f>
        <v>87.9</v>
      </c>
      <c r="G21" s="88">
        <f>VLOOKUP($B21,dados!$D$4:$U$272,6,FALSE)</f>
        <v>98.1</v>
      </c>
      <c r="H21" s="88">
        <f>VLOOKUP($B21,dados!$D$4:$U$272,7,FALSE)</f>
        <v>103.4</v>
      </c>
      <c r="I21" s="88">
        <f>VLOOKUP($B21,dados!$D$4:$U$272,8,FALSE)</f>
        <v>57.4</v>
      </c>
      <c r="J21" s="88">
        <f>VLOOKUP($B21,dados!$D$4:$U$272,9,FALSE)</f>
        <v>91.2</v>
      </c>
      <c r="K21" s="88">
        <f>VLOOKUP($B21,dados!$D$4:$U$272,10,FALSE)</f>
        <v>70.8</v>
      </c>
      <c r="L21" s="88">
        <f>VLOOKUP($B21,dados!$D$4:$U$272,11,FALSE)</f>
        <v>75.2</v>
      </c>
      <c r="M21" s="88">
        <f>VLOOKUP($B21,dados!$D$4:$U$272,12,FALSE)</f>
        <v>108.7</v>
      </c>
      <c r="N21" s="88">
        <f>VLOOKUP($B21,dados!$D$4:$U$272,13,FALSE)</f>
        <v>81.5</v>
      </c>
      <c r="O21" s="88">
        <f>VLOOKUP($B21,dados!$D$4:$U$272,14,FALSE)</f>
        <v>83.8</v>
      </c>
      <c r="P21" s="88">
        <f>VLOOKUP($B21,dados!$D$4:$U$272,15,FALSE)</f>
        <v>73.8</v>
      </c>
      <c r="Q21" s="88">
        <f>VLOOKUP($B21,dados!$D$4:$U$272,16,FALSE)</f>
        <v>102.2</v>
      </c>
      <c r="R21" s="88">
        <f>VLOOKUP($B21,dados!$D$4:$U$272,17,FALSE)</f>
        <v>14</v>
      </c>
      <c r="S21" s="89">
        <f>VLOOKUP($B21,dados!$D$4:$U$272,18,FALSE)</f>
        <v>108.3</v>
      </c>
    </row>
    <row r="22" spans="1:19" s="21" customFormat="1" ht="12.75" x14ac:dyDescent="0.2">
      <c r="A22" s="22">
        <f t="shared" si="6"/>
        <v>2018</v>
      </c>
      <c r="B22" s="26">
        <v>43132</v>
      </c>
      <c r="C22" s="88">
        <f>VLOOKUP($B22,dados!$D$4:$U$272,2,FALSE)</f>
        <v>93.9</v>
      </c>
      <c r="D22" s="88">
        <f>VLOOKUP($B22,dados!$D$4:$U$272,3,FALSE)</f>
        <v>85.4</v>
      </c>
      <c r="E22" s="88">
        <f>VLOOKUP($B22,dados!$D$4:$U$272,4,FALSE)</f>
        <v>99.5</v>
      </c>
      <c r="F22" s="88">
        <f>VLOOKUP($B22,dados!$D$4:$U$272,5,FALSE)</f>
        <v>79.900000000000006</v>
      </c>
      <c r="G22" s="88">
        <f>VLOOKUP($B22,dados!$D$4:$U$272,6,FALSE)</f>
        <v>73.099999999999994</v>
      </c>
      <c r="H22" s="88">
        <f>VLOOKUP($B22,dados!$D$4:$U$272,7,FALSE)</f>
        <v>107.3</v>
      </c>
      <c r="I22" s="88">
        <f>VLOOKUP($B22,dados!$D$4:$U$272,8,FALSE)</f>
        <v>55.9</v>
      </c>
      <c r="J22" s="88">
        <f>VLOOKUP($B22,dados!$D$4:$U$272,9,FALSE)</f>
        <v>81.5</v>
      </c>
      <c r="K22" s="88">
        <f>VLOOKUP($B22,dados!$D$4:$U$272,10,FALSE)</f>
        <v>66.3</v>
      </c>
      <c r="L22" s="88">
        <f>VLOOKUP($B22,dados!$D$4:$U$272,11,FALSE)</f>
        <v>68.400000000000006</v>
      </c>
      <c r="M22" s="88">
        <f>VLOOKUP($B22,dados!$D$4:$U$272,12,FALSE)</f>
        <v>83.4</v>
      </c>
      <c r="N22" s="88">
        <f>VLOOKUP($B22,dados!$D$4:$U$272,13,FALSE)</f>
        <v>73.099999999999994</v>
      </c>
      <c r="O22" s="88">
        <f>VLOOKUP($B22,dados!$D$4:$U$272,14,FALSE)</f>
        <v>75.400000000000006</v>
      </c>
      <c r="P22" s="88">
        <f>VLOOKUP($B22,dados!$D$4:$U$272,15,FALSE)</f>
        <v>67.599999999999994</v>
      </c>
      <c r="Q22" s="88">
        <f>VLOOKUP($B22,dados!$D$4:$U$272,16,FALSE)</f>
        <v>109.6</v>
      </c>
      <c r="R22" s="88">
        <f>VLOOKUP($B22,dados!$D$4:$U$272,17,FALSE)</f>
        <v>9.6999999999999993</v>
      </c>
      <c r="S22" s="89">
        <f>VLOOKUP($B22,dados!$D$4:$U$272,18,FALSE)</f>
        <v>93.3</v>
      </c>
    </row>
    <row r="23" spans="1:19" s="21" customFormat="1" ht="12.75" x14ac:dyDescent="0.2">
      <c r="A23" s="22">
        <f t="shared" si="6"/>
        <v>2018</v>
      </c>
      <c r="B23" s="26">
        <v>43160</v>
      </c>
      <c r="C23" s="88">
        <f>VLOOKUP($B23,dados!$D$4:$U$272,2,FALSE)</f>
        <v>90</v>
      </c>
      <c r="D23" s="88">
        <f>VLOOKUP($B23,dados!$D$4:$U$272,3,FALSE)</f>
        <v>90.1</v>
      </c>
      <c r="E23" s="88">
        <f>VLOOKUP($B23,dados!$D$4:$U$272,4,FALSE)</f>
        <v>106.7</v>
      </c>
      <c r="F23" s="88">
        <f>VLOOKUP($B23,dados!$D$4:$U$272,5,FALSE)</f>
        <v>83.5</v>
      </c>
      <c r="G23" s="88">
        <f>VLOOKUP($B23,dados!$D$4:$U$272,6,FALSE)</f>
        <v>102.2</v>
      </c>
      <c r="H23" s="88">
        <f>VLOOKUP($B23,dados!$D$4:$U$272,7,FALSE)</f>
        <v>80.599999999999994</v>
      </c>
      <c r="I23" s="88">
        <f>VLOOKUP($B23,dados!$D$4:$U$272,8,FALSE)</f>
        <v>56.1</v>
      </c>
      <c r="J23" s="88">
        <f>VLOOKUP($B23,dados!$D$4:$U$272,9,FALSE)</f>
        <v>73</v>
      </c>
      <c r="K23" s="88">
        <f>VLOOKUP($B23,dados!$D$4:$U$272,10,FALSE)</f>
        <v>73.2</v>
      </c>
      <c r="L23" s="88">
        <f>VLOOKUP($B23,dados!$D$4:$U$272,11,FALSE)</f>
        <v>80.099999999999994</v>
      </c>
      <c r="M23" s="88">
        <f>VLOOKUP($B23,dados!$D$4:$U$272,12,FALSE)</f>
        <v>111.4</v>
      </c>
      <c r="N23" s="88">
        <f>VLOOKUP($B23,dados!$D$4:$U$272,13,FALSE)</f>
        <v>88</v>
      </c>
      <c r="O23" s="88">
        <f>VLOOKUP($B23,dados!$D$4:$U$272,14,FALSE)</f>
        <v>87.2</v>
      </c>
      <c r="P23" s="88">
        <f>VLOOKUP($B23,dados!$D$4:$U$272,15,FALSE)</f>
        <v>82.4</v>
      </c>
      <c r="Q23" s="88">
        <f>VLOOKUP($B23,dados!$D$4:$U$272,16,FALSE)</f>
        <v>127.6</v>
      </c>
      <c r="R23" s="88">
        <f>VLOOKUP($B23,dados!$D$4:$U$272,17,FALSE)</f>
        <v>12.5</v>
      </c>
      <c r="S23" s="89">
        <f>VLOOKUP($B23,dados!$D$4:$U$272,18,FALSE)</f>
        <v>103.9</v>
      </c>
    </row>
    <row r="24" spans="1:19" s="21" customFormat="1" ht="12.75" x14ac:dyDescent="0.2">
      <c r="A24" s="22">
        <f t="shared" si="6"/>
        <v>2018</v>
      </c>
      <c r="B24" s="26">
        <v>43191</v>
      </c>
      <c r="C24" s="88">
        <f>VLOOKUP($B24,dados!$D$4:$U$272,2,FALSE)</f>
        <v>97.8</v>
      </c>
      <c r="D24" s="88">
        <f>VLOOKUP($B24,dados!$D$4:$U$272,3,FALSE)</f>
        <v>94.6</v>
      </c>
      <c r="E24" s="88">
        <f>VLOOKUP($B24,dados!$D$4:$U$272,4,FALSE)</f>
        <v>107.6</v>
      </c>
      <c r="F24" s="88">
        <f>VLOOKUP($B24,dados!$D$4:$U$272,5,FALSE)</f>
        <v>89.4</v>
      </c>
      <c r="G24" s="88">
        <f>VLOOKUP($B24,dados!$D$4:$U$272,6,FALSE)</f>
        <v>87.7</v>
      </c>
      <c r="H24" s="88">
        <f>VLOOKUP($B24,dados!$D$4:$U$272,7,FALSE)</f>
        <v>73.5</v>
      </c>
      <c r="I24" s="88">
        <f>VLOOKUP($B24,dados!$D$4:$U$272,8,FALSE)</f>
        <v>56.3</v>
      </c>
      <c r="J24" s="88">
        <f>VLOOKUP($B24,dados!$D$4:$U$272,9,FALSE)</f>
        <v>96.9</v>
      </c>
      <c r="K24" s="88">
        <f>VLOOKUP($B24,dados!$D$4:$U$272,10,FALSE)</f>
        <v>69</v>
      </c>
      <c r="L24" s="88">
        <f>VLOOKUP($B24,dados!$D$4:$U$272,11,FALSE)</f>
        <v>92.6</v>
      </c>
      <c r="M24" s="88">
        <f>VLOOKUP($B24,dados!$D$4:$U$272,12,FALSE)</f>
        <v>112.5</v>
      </c>
      <c r="N24" s="88">
        <f>VLOOKUP($B24,dados!$D$4:$U$272,13,FALSE)</f>
        <v>84.1</v>
      </c>
      <c r="O24" s="88">
        <f>VLOOKUP($B24,dados!$D$4:$U$272,14,FALSE)</f>
        <v>83.6</v>
      </c>
      <c r="P24" s="88">
        <f>VLOOKUP($B24,dados!$D$4:$U$272,15,FALSE)</f>
        <v>65.7</v>
      </c>
      <c r="Q24" s="88">
        <f>VLOOKUP($B24,dados!$D$4:$U$272,16,FALSE)</f>
        <v>115.3</v>
      </c>
      <c r="R24" s="88">
        <f>VLOOKUP($B24,dados!$D$4:$U$272,17,FALSE)</f>
        <v>12</v>
      </c>
      <c r="S24" s="89">
        <f>VLOOKUP($B24,dados!$D$4:$U$272,18,FALSE)</f>
        <v>104.9</v>
      </c>
    </row>
    <row r="25" spans="1:19" s="21" customFormat="1" ht="12.75" x14ac:dyDescent="0.2">
      <c r="A25" s="22">
        <f t="shared" si="6"/>
        <v>2018</v>
      </c>
      <c r="B25" s="26">
        <v>43221</v>
      </c>
      <c r="C25" s="88">
        <f>VLOOKUP($B25,dados!$D$4:$U$272,2,FALSE)</f>
        <v>90.7</v>
      </c>
      <c r="D25" s="88">
        <f>VLOOKUP($B25,dados!$D$4:$U$272,3,FALSE)</f>
        <v>91</v>
      </c>
      <c r="E25" s="88">
        <f>VLOOKUP($B25,dados!$D$4:$U$272,4,FALSE)</f>
        <v>109.3</v>
      </c>
      <c r="F25" s="88">
        <f>VLOOKUP($B25,dados!$D$4:$U$272,5,FALSE)</f>
        <v>83.7</v>
      </c>
      <c r="G25" s="88">
        <f>VLOOKUP($B25,dados!$D$4:$U$272,6,FALSE)</f>
        <v>75.7</v>
      </c>
      <c r="H25" s="88">
        <f>VLOOKUP($B25,dados!$D$4:$U$272,7,FALSE)</f>
        <v>84.5</v>
      </c>
      <c r="I25" s="88">
        <f>VLOOKUP($B25,dados!$D$4:$U$272,8,FALSE)</f>
        <v>56.4</v>
      </c>
      <c r="J25" s="88">
        <f>VLOOKUP($B25,dados!$D$4:$U$272,9,FALSE)</f>
        <v>91.5</v>
      </c>
      <c r="K25" s="88">
        <f>VLOOKUP($B25,dados!$D$4:$U$272,10,FALSE)</f>
        <v>69.7</v>
      </c>
      <c r="L25" s="88">
        <f>VLOOKUP($B25,dados!$D$4:$U$272,11,FALSE)</f>
        <v>86.6</v>
      </c>
      <c r="M25" s="88">
        <f>VLOOKUP($B25,dados!$D$4:$U$272,12,FALSE)</f>
        <v>95.1</v>
      </c>
      <c r="N25" s="88">
        <f>VLOOKUP($B25,dados!$D$4:$U$272,13,FALSE)</f>
        <v>74.099999999999994</v>
      </c>
      <c r="O25" s="88">
        <f>VLOOKUP($B25,dados!$D$4:$U$272,14,FALSE)</f>
        <v>82.6</v>
      </c>
      <c r="P25" s="88">
        <f>VLOOKUP($B25,dados!$D$4:$U$272,15,FALSE)</f>
        <v>77.2</v>
      </c>
      <c r="Q25" s="88">
        <f>VLOOKUP($B25,dados!$D$4:$U$272,16,FALSE)</f>
        <v>81.2</v>
      </c>
      <c r="R25" s="88">
        <f>VLOOKUP($B25,dados!$D$4:$U$272,17,FALSE)</f>
        <v>12.8</v>
      </c>
      <c r="S25" s="89">
        <f>VLOOKUP($B25,dados!$D$4:$U$272,18,FALSE)</f>
        <v>106.4</v>
      </c>
    </row>
    <row r="26" spans="1:19" s="21" customFormat="1" ht="12.75" x14ac:dyDescent="0.2">
      <c r="A26" s="22">
        <f t="shared" si="6"/>
        <v>2018</v>
      </c>
      <c r="B26" s="26">
        <v>43252</v>
      </c>
      <c r="C26" s="88">
        <f>VLOOKUP($B26,dados!$D$4:$U$272,2,FALSE)</f>
        <v>93.2</v>
      </c>
      <c r="D26" s="88">
        <f>VLOOKUP($B26,dados!$D$4:$U$272,3,FALSE)</f>
        <v>92.3</v>
      </c>
      <c r="E26" s="88">
        <f>VLOOKUP($B26,dados!$D$4:$U$272,4,FALSE)</f>
        <v>104</v>
      </c>
      <c r="F26" s="88">
        <f>VLOOKUP($B26,dados!$D$4:$U$272,5,FALSE)</f>
        <v>87.7</v>
      </c>
      <c r="G26" s="88">
        <f>VLOOKUP($B26,dados!$D$4:$U$272,6,FALSE)</f>
        <v>88.6</v>
      </c>
      <c r="H26" s="88">
        <f>VLOOKUP($B26,dados!$D$4:$U$272,7,FALSE)</f>
        <v>81.8</v>
      </c>
      <c r="I26" s="88">
        <f>VLOOKUP($B26,dados!$D$4:$U$272,8,FALSE)</f>
        <v>56.5</v>
      </c>
      <c r="J26" s="88">
        <f>VLOOKUP($B26,dados!$D$4:$U$272,9,FALSE)</f>
        <v>90.3</v>
      </c>
      <c r="K26" s="88">
        <f>VLOOKUP($B26,dados!$D$4:$U$272,10,FALSE)</f>
        <v>84.4</v>
      </c>
      <c r="L26" s="88">
        <f>VLOOKUP($B26,dados!$D$4:$U$272,11,FALSE)</f>
        <v>101</v>
      </c>
      <c r="M26" s="88">
        <f>VLOOKUP($B26,dados!$D$4:$U$272,12,FALSE)</f>
        <v>88.6</v>
      </c>
      <c r="N26" s="88">
        <f>VLOOKUP($B26,dados!$D$4:$U$272,13,FALSE)</f>
        <v>96.7</v>
      </c>
      <c r="O26" s="88">
        <f>VLOOKUP($B26,dados!$D$4:$U$272,14,FALSE)</f>
        <v>69</v>
      </c>
      <c r="P26" s="88">
        <f>VLOOKUP($B26,dados!$D$4:$U$272,15,FALSE)</f>
        <v>72.099999999999994</v>
      </c>
      <c r="Q26" s="88">
        <f>VLOOKUP($B26,dados!$D$4:$U$272,16,FALSE)</f>
        <v>128.30000000000001</v>
      </c>
      <c r="R26" s="88">
        <f>VLOOKUP($B26,dados!$D$4:$U$272,17,FALSE)</f>
        <v>10.5</v>
      </c>
      <c r="S26" s="89">
        <f>VLOOKUP($B26,dados!$D$4:$U$272,18,FALSE)</f>
        <v>112.8</v>
      </c>
    </row>
    <row r="27" spans="1:19" s="21" customFormat="1" ht="12.75" x14ac:dyDescent="0.2">
      <c r="A27" s="22">
        <f t="shared" si="6"/>
        <v>2018</v>
      </c>
      <c r="B27" s="26">
        <v>43282</v>
      </c>
      <c r="C27" s="88">
        <f>VLOOKUP($B27,dados!$D$4:$U$272,2,FALSE)</f>
        <v>92.7</v>
      </c>
      <c r="D27" s="88">
        <f>VLOOKUP($B27,dados!$D$4:$U$272,3,FALSE)</f>
        <v>95.6</v>
      </c>
      <c r="E27" s="88">
        <f>VLOOKUP($B27,dados!$D$4:$U$272,4,FALSE)</f>
        <v>106.8</v>
      </c>
      <c r="F27" s="88">
        <f>VLOOKUP($B27,dados!$D$4:$U$272,5,FALSE)</f>
        <v>91.2</v>
      </c>
      <c r="G27" s="88">
        <f>VLOOKUP($B27,dados!$D$4:$U$272,6,FALSE)</f>
        <v>93.4</v>
      </c>
      <c r="H27" s="88">
        <f>VLOOKUP($B27,dados!$D$4:$U$272,7,FALSE)</f>
        <v>91.6</v>
      </c>
      <c r="I27" s="88">
        <f>VLOOKUP($B27,dados!$D$4:$U$272,8,FALSE)</f>
        <v>55.8</v>
      </c>
      <c r="J27" s="88">
        <f>VLOOKUP($B27,dados!$D$4:$U$272,9,FALSE)</f>
        <v>96.5</v>
      </c>
      <c r="K27" s="88">
        <f>VLOOKUP($B27,dados!$D$4:$U$272,10,FALSE)</f>
        <v>80.2</v>
      </c>
      <c r="L27" s="88">
        <f>VLOOKUP($B27,dados!$D$4:$U$272,11,FALSE)</f>
        <v>88.8</v>
      </c>
      <c r="M27" s="88">
        <f>VLOOKUP($B27,dados!$D$4:$U$272,12,FALSE)</f>
        <v>107</v>
      </c>
      <c r="N27" s="88">
        <f>VLOOKUP($B27,dados!$D$4:$U$272,13,FALSE)</f>
        <v>99.1</v>
      </c>
      <c r="O27" s="88">
        <f>VLOOKUP($B27,dados!$D$4:$U$272,14,FALSE)</f>
        <v>76.5</v>
      </c>
      <c r="P27" s="88">
        <f>VLOOKUP($B27,dados!$D$4:$U$272,15,FALSE)</f>
        <v>73.7</v>
      </c>
      <c r="Q27" s="88">
        <f>VLOOKUP($B27,dados!$D$4:$U$272,16,FALSE)</f>
        <v>130.1</v>
      </c>
      <c r="R27" s="88">
        <f>VLOOKUP($B27,dados!$D$4:$U$272,17,FALSE)</f>
        <v>10.6</v>
      </c>
      <c r="S27" s="89">
        <f>VLOOKUP($B27,dados!$D$4:$U$272,18,FALSE)</f>
        <v>96.3</v>
      </c>
    </row>
    <row r="28" spans="1:19" s="21" customFormat="1" ht="12.75" x14ac:dyDescent="0.2">
      <c r="A28" s="22">
        <f t="shared" si="6"/>
        <v>2018</v>
      </c>
      <c r="B28" s="26">
        <v>43313</v>
      </c>
      <c r="C28" s="88">
        <f>VLOOKUP($B28,dados!$D$4:$U$272,2,FALSE)</f>
        <v>92.4</v>
      </c>
      <c r="D28" s="88">
        <f>VLOOKUP($B28,dados!$D$4:$U$272,3,FALSE)</f>
        <v>95</v>
      </c>
      <c r="E28" s="88">
        <f>VLOOKUP($B28,dados!$D$4:$U$272,4,FALSE)</f>
        <v>100.3</v>
      </c>
      <c r="F28" s="88">
        <f>VLOOKUP($B28,dados!$D$4:$U$272,5,FALSE)</f>
        <v>93</v>
      </c>
      <c r="G28" s="88">
        <f>VLOOKUP($B28,dados!$D$4:$U$272,6,FALSE)</f>
        <v>91</v>
      </c>
      <c r="H28" s="88">
        <f>VLOOKUP($B28,dados!$D$4:$U$272,7,FALSE)</f>
        <v>85.5</v>
      </c>
      <c r="I28" s="88">
        <f>VLOOKUP($B28,dados!$D$4:$U$272,8,FALSE)</f>
        <v>55</v>
      </c>
      <c r="J28" s="88">
        <f>VLOOKUP($B28,dados!$D$4:$U$272,9,FALSE)</f>
        <v>96.3</v>
      </c>
      <c r="K28" s="88">
        <f>VLOOKUP($B28,dados!$D$4:$U$272,10,FALSE)</f>
        <v>101.8</v>
      </c>
      <c r="L28" s="88">
        <f>VLOOKUP($B28,dados!$D$4:$U$272,11,FALSE)</f>
        <v>107.1</v>
      </c>
      <c r="M28" s="88">
        <f>VLOOKUP($B28,dados!$D$4:$U$272,12,FALSE)</f>
        <v>104.4</v>
      </c>
      <c r="N28" s="88">
        <f>VLOOKUP($B28,dados!$D$4:$U$272,13,FALSE)</f>
        <v>95.4</v>
      </c>
      <c r="O28" s="88">
        <f>VLOOKUP($B28,dados!$D$4:$U$272,14,FALSE)</f>
        <v>66.599999999999994</v>
      </c>
      <c r="P28" s="88">
        <f>VLOOKUP($B28,dados!$D$4:$U$272,15,FALSE)</f>
        <v>79.8</v>
      </c>
      <c r="Q28" s="88">
        <f>VLOOKUP($B28,dados!$D$4:$U$272,16,FALSE)</f>
        <v>142.5</v>
      </c>
      <c r="R28" s="88">
        <f>VLOOKUP($B28,dados!$D$4:$U$272,17,FALSE)</f>
        <v>9.4</v>
      </c>
      <c r="S28" s="89">
        <f>VLOOKUP($B28,dados!$D$4:$U$272,18,FALSE)</f>
        <v>107.7</v>
      </c>
    </row>
    <row r="29" spans="1:19" s="21" customFormat="1" ht="12.75" x14ac:dyDescent="0.2">
      <c r="A29" s="22">
        <f t="shared" si="6"/>
        <v>2018</v>
      </c>
      <c r="B29" s="26">
        <v>43344</v>
      </c>
      <c r="C29" s="88">
        <f>VLOOKUP($B29,dados!$D$4:$U$272,2,FALSE)</f>
        <v>93.1</v>
      </c>
      <c r="D29" s="88">
        <f>VLOOKUP($B29,dados!$D$4:$U$272,3,FALSE)</f>
        <v>90.7</v>
      </c>
      <c r="E29" s="88">
        <f>VLOOKUP($B29,dados!$D$4:$U$272,4,FALSE)</f>
        <v>98.6</v>
      </c>
      <c r="F29" s="88">
        <f>VLOOKUP($B29,dados!$D$4:$U$272,5,FALSE)</f>
        <v>87.6</v>
      </c>
      <c r="G29" s="88">
        <f>VLOOKUP($B29,dados!$D$4:$U$272,6,FALSE)</f>
        <v>102</v>
      </c>
      <c r="H29" s="88">
        <f>VLOOKUP($B29,dados!$D$4:$U$272,7,FALSE)</f>
        <v>82</v>
      </c>
      <c r="I29" s="88">
        <f>VLOOKUP($B29,dados!$D$4:$U$272,8,FALSE)</f>
        <v>55.6</v>
      </c>
      <c r="J29" s="88">
        <f>VLOOKUP($B29,dados!$D$4:$U$272,9,FALSE)</f>
        <v>90.4</v>
      </c>
      <c r="K29" s="88">
        <f>VLOOKUP($B29,dados!$D$4:$U$272,10,FALSE)</f>
        <v>98</v>
      </c>
      <c r="L29" s="88">
        <f>VLOOKUP($B29,dados!$D$4:$U$272,11,FALSE)</f>
        <v>76.099999999999994</v>
      </c>
      <c r="M29" s="88">
        <f>VLOOKUP($B29,dados!$D$4:$U$272,12,FALSE)</f>
        <v>106.7</v>
      </c>
      <c r="N29" s="88">
        <f>VLOOKUP($B29,dados!$D$4:$U$272,13,FALSE)</f>
        <v>95.5</v>
      </c>
      <c r="O29" s="88">
        <f>VLOOKUP($B29,dados!$D$4:$U$272,14,FALSE)</f>
        <v>73.3</v>
      </c>
      <c r="P29" s="88">
        <f>VLOOKUP($B29,dados!$D$4:$U$272,15,FALSE)</f>
        <v>90.7</v>
      </c>
      <c r="Q29" s="88">
        <f>VLOOKUP($B29,dados!$D$4:$U$272,16,FALSE)</f>
        <v>110.3</v>
      </c>
      <c r="R29" s="88">
        <f>VLOOKUP($B29,dados!$D$4:$U$272,17,FALSE)</f>
        <v>6.6</v>
      </c>
      <c r="S29" s="89">
        <f>VLOOKUP($B29,dados!$D$4:$U$272,18,FALSE)</f>
        <v>95.8</v>
      </c>
    </row>
    <row r="30" spans="1:19" s="21" customFormat="1" ht="12.75" x14ac:dyDescent="0.2">
      <c r="A30" s="22">
        <f t="shared" si="6"/>
        <v>2018</v>
      </c>
      <c r="B30" s="26">
        <v>43374</v>
      </c>
      <c r="C30" s="88">
        <f>VLOOKUP($B30,dados!$D$4:$U$272,2,FALSE)</f>
        <v>92.3</v>
      </c>
      <c r="D30" s="88">
        <f>VLOOKUP($B30,dados!$D$4:$U$272,3,FALSE)</f>
        <v>98.3</v>
      </c>
      <c r="E30" s="88">
        <f>VLOOKUP($B30,dados!$D$4:$U$272,4,FALSE)</f>
        <v>107.5</v>
      </c>
      <c r="F30" s="88">
        <f>VLOOKUP($B30,dados!$D$4:$U$272,5,FALSE)</f>
        <v>94.7</v>
      </c>
      <c r="G30" s="88">
        <f>VLOOKUP($B30,dados!$D$4:$U$272,6,FALSE)</f>
        <v>117.8</v>
      </c>
      <c r="H30" s="88">
        <f>VLOOKUP($B30,dados!$D$4:$U$272,7,FALSE)</f>
        <v>97</v>
      </c>
      <c r="I30" s="88">
        <f>VLOOKUP($B30,dados!$D$4:$U$272,8,FALSE)</f>
        <v>55.9</v>
      </c>
      <c r="J30" s="88">
        <f>VLOOKUP($B30,dados!$D$4:$U$272,9,FALSE)</f>
        <v>97.1</v>
      </c>
      <c r="K30" s="88">
        <f>VLOOKUP($B30,dados!$D$4:$U$272,10,FALSE)</f>
        <v>94.2</v>
      </c>
      <c r="L30" s="88">
        <f>VLOOKUP($B30,dados!$D$4:$U$272,11,FALSE)</f>
        <v>89.4</v>
      </c>
      <c r="M30" s="88">
        <f>VLOOKUP($B30,dados!$D$4:$U$272,12,FALSE)</f>
        <v>120.3</v>
      </c>
      <c r="N30" s="88">
        <f>VLOOKUP($B30,dados!$D$4:$U$272,13,FALSE)</f>
        <v>90.3</v>
      </c>
      <c r="O30" s="88">
        <f>VLOOKUP($B30,dados!$D$4:$U$272,14,FALSE)</f>
        <v>76.2</v>
      </c>
      <c r="P30" s="88">
        <f>VLOOKUP($B30,dados!$D$4:$U$272,15,FALSE)</f>
        <v>121.3</v>
      </c>
      <c r="Q30" s="88">
        <f>VLOOKUP($B30,dados!$D$4:$U$272,16,FALSE)</f>
        <v>123.8</v>
      </c>
      <c r="R30" s="88">
        <f>VLOOKUP($B30,dados!$D$4:$U$272,17,FALSE)</f>
        <v>6.7</v>
      </c>
      <c r="S30" s="89">
        <f>VLOOKUP($B30,dados!$D$4:$U$272,18,FALSE)</f>
        <v>90.6</v>
      </c>
    </row>
    <row r="31" spans="1:19" s="21" customFormat="1" ht="12.75" x14ac:dyDescent="0.2">
      <c r="A31" s="22">
        <f t="shared" si="6"/>
        <v>2018</v>
      </c>
      <c r="B31" s="26">
        <v>43405</v>
      </c>
      <c r="C31" s="88">
        <f>VLOOKUP($B31,dados!$D$4:$U$272,2,FALSE)</f>
        <v>90.4</v>
      </c>
      <c r="D31" s="88">
        <f>VLOOKUP($B31,dados!$D$4:$U$272,3,FALSE)</f>
        <v>91.3</v>
      </c>
      <c r="E31" s="88">
        <f>VLOOKUP($B31,dados!$D$4:$U$272,4,FALSE)</f>
        <v>105.2</v>
      </c>
      <c r="F31" s="88">
        <f>VLOOKUP($B31,dados!$D$4:$U$272,5,FALSE)</f>
        <v>85.8</v>
      </c>
      <c r="G31" s="88">
        <f>VLOOKUP($B31,dados!$D$4:$U$272,6,FALSE)</f>
        <v>111</v>
      </c>
      <c r="H31" s="88">
        <f>VLOOKUP($B31,dados!$D$4:$U$272,7,FALSE)</f>
        <v>98.6</v>
      </c>
      <c r="I31" s="88">
        <f>VLOOKUP($B31,dados!$D$4:$U$272,8,FALSE)</f>
        <v>57.1</v>
      </c>
      <c r="J31" s="88">
        <f>VLOOKUP($B31,dados!$D$4:$U$272,9,FALSE)</f>
        <v>83.3</v>
      </c>
      <c r="K31" s="88">
        <f>VLOOKUP($B31,dados!$D$4:$U$272,10,FALSE)</f>
        <v>93.8</v>
      </c>
      <c r="L31" s="88">
        <f>VLOOKUP($B31,dados!$D$4:$U$272,11,FALSE)</f>
        <v>78.900000000000006</v>
      </c>
      <c r="M31" s="88">
        <f>VLOOKUP($B31,dados!$D$4:$U$272,12,FALSE)</f>
        <v>106</v>
      </c>
      <c r="N31" s="88">
        <f>VLOOKUP($B31,dados!$D$4:$U$272,13,FALSE)</f>
        <v>89</v>
      </c>
      <c r="O31" s="88">
        <f>VLOOKUP($B31,dados!$D$4:$U$272,14,FALSE)</f>
        <v>73.8</v>
      </c>
      <c r="P31" s="88">
        <f>VLOOKUP($B31,dados!$D$4:$U$272,15,FALSE)</f>
        <v>88.8</v>
      </c>
      <c r="Q31" s="88">
        <f>VLOOKUP($B31,dados!$D$4:$U$272,16,FALSE)</f>
        <v>108.2</v>
      </c>
      <c r="R31" s="88">
        <f>VLOOKUP($B31,dados!$D$4:$U$272,17,FALSE)</f>
        <v>6.1</v>
      </c>
      <c r="S31" s="89">
        <f>VLOOKUP($B31,dados!$D$4:$U$272,18,FALSE)</f>
        <v>94.7</v>
      </c>
    </row>
    <row r="32" spans="1:19" s="21" customFormat="1" ht="12.75" x14ac:dyDescent="0.2">
      <c r="A32" s="22">
        <f t="shared" si="6"/>
        <v>2018</v>
      </c>
      <c r="B32" s="26">
        <v>43435</v>
      </c>
      <c r="C32" s="88">
        <f>VLOOKUP($B32,dados!$D$4:$U$272,2,FALSE)</f>
        <v>93.6</v>
      </c>
      <c r="D32" s="88">
        <f>VLOOKUP($B32,dados!$D$4:$U$272,3,FALSE)</f>
        <v>94.1</v>
      </c>
      <c r="E32" s="88">
        <f>VLOOKUP($B32,dados!$D$4:$U$272,4,FALSE)</f>
        <v>114</v>
      </c>
      <c r="F32" s="88">
        <f>VLOOKUP($B32,dados!$D$4:$U$272,5,FALSE)</f>
        <v>86.2</v>
      </c>
      <c r="G32" s="88">
        <f>VLOOKUP($B32,dados!$D$4:$U$272,6,FALSE)</f>
        <v>128.19999999999999</v>
      </c>
      <c r="H32" s="88">
        <f>VLOOKUP($B32,dados!$D$4:$U$272,7,FALSE)</f>
        <v>116.2</v>
      </c>
      <c r="I32" s="88">
        <f>VLOOKUP($B32,dados!$D$4:$U$272,8,FALSE)</f>
        <v>55.7</v>
      </c>
      <c r="J32" s="88">
        <f>VLOOKUP($B32,dados!$D$4:$U$272,9,FALSE)</f>
        <v>88.2</v>
      </c>
      <c r="K32" s="88">
        <f>VLOOKUP($B32,dados!$D$4:$U$272,10,FALSE)</f>
        <v>69.5</v>
      </c>
      <c r="L32" s="88">
        <f>VLOOKUP($B32,dados!$D$4:$U$272,11,FALSE)</f>
        <v>118.4</v>
      </c>
      <c r="M32" s="88">
        <f>VLOOKUP($B32,dados!$D$4:$U$272,12,FALSE)</f>
        <v>97</v>
      </c>
      <c r="N32" s="88">
        <f>VLOOKUP($B32,dados!$D$4:$U$272,13,FALSE)</f>
        <v>90.4</v>
      </c>
      <c r="O32" s="88">
        <f>VLOOKUP($B32,dados!$D$4:$U$272,14,FALSE)</f>
        <v>71.2</v>
      </c>
      <c r="P32" s="88">
        <f>VLOOKUP($B32,dados!$D$4:$U$272,15,FALSE)</f>
        <v>79.3</v>
      </c>
      <c r="Q32" s="88">
        <f>VLOOKUP($B32,dados!$D$4:$U$272,16,FALSE)</f>
        <v>78.900000000000006</v>
      </c>
      <c r="R32" s="88">
        <f>VLOOKUP($B32,dados!$D$4:$U$272,17,FALSE)</f>
        <v>4</v>
      </c>
      <c r="S32" s="89">
        <f>VLOOKUP($B32,dados!$D$4:$U$272,18,FALSE)</f>
        <v>89.8</v>
      </c>
    </row>
    <row r="33" spans="1:19" s="21" customFormat="1" ht="12.75" x14ac:dyDescent="0.2">
      <c r="A33" s="22"/>
      <c r="B33" s="26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9"/>
    </row>
    <row r="34" spans="1:19" s="21" customFormat="1" ht="12.75" x14ac:dyDescent="0.2">
      <c r="A34" s="30">
        <f>A35</f>
        <v>2019</v>
      </c>
      <c r="B34" s="27" t="s">
        <v>6</v>
      </c>
      <c r="C34" s="86">
        <f>SUM(C35:C47)</f>
        <v>1131.4000000000001</v>
      </c>
      <c r="D34" s="86">
        <f t="shared" ref="D34" si="13">SUM(D35:D47)</f>
        <v>1138.9000000000001</v>
      </c>
      <c r="E34" s="86">
        <f t="shared" ref="E34:S34" si="14">SUM(E35:E47)</f>
        <v>1456.6000000000001</v>
      </c>
      <c r="F34" s="86">
        <f t="shared" si="14"/>
        <v>1013.5999999999999</v>
      </c>
      <c r="G34" s="86">
        <f t="shared" si="14"/>
        <v>1080.5999999999999</v>
      </c>
      <c r="H34" s="86">
        <f t="shared" ref="H34:I34" si="15">SUM(H35:H47)</f>
        <v>1091.2000000000003</v>
      </c>
      <c r="I34" s="86">
        <f t="shared" si="15"/>
        <v>823.0999999999998</v>
      </c>
      <c r="J34" s="86">
        <f t="shared" si="14"/>
        <v>1092.5</v>
      </c>
      <c r="K34" s="86">
        <f t="shared" ref="K34:L34" si="16">SUM(K35:K47)</f>
        <v>836.40000000000009</v>
      </c>
      <c r="L34" s="86">
        <f t="shared" si="16"/>
        <v>811.9</v>
      </c>
      <c r="M34" s="86">
        <f t="shared" si="14"/>
        <v>1186.0999999999999</v>
      </c>
      <c r="N34" s="86">
        <f t="shared" ref="N34:O34" si="17">SUM(N35:N47)</f>
        <v>1112.0999999999999</v>
      </c>
      <c r="O34" s="86">
        <f t="shared" si="17"/>
        <v>816.8</v>
      </c>
      <c r="P34" s="86">
        <f t="shared" si="14"/>
        <v>1082.5</v>
      </c>
      <c r="Q34" s="86">
        <f t="shared" ref="Q34:R34" si="18">SUM(Q35:Q47)</f>
        <v>1287.8</v>
      </c>
      <c r="R34" s="86">
        <f t="shared" si="18"/>
        <v>96.3</v>
      </c>
      <c r="S34" s="87">
        <f t="shared" si="14"/>
        <v>1155.9000000000001</v>
      </c>
    </row>
    <row r="35" spans="1:19" s="21" customFormat="1" ht="12.75" x14ac:dyDescent="0.2">
      <c r="A35" s="22">
        <f t="shared" si="6"/>
        <v>2019</v>
      </c>
      <c r="B35" s="26">
        <v>43466</v>
      </c>
      <c r="C35" s="88">
        <f>VLOOKUP($B35,dados!$D$4:$U$272,2,FALSE)</f>
        <v>92.2</v>
      </c>
      <c r="D35" s="88">
        <f>VLOOKUP($B35,dados!$D$4:$U$272,3,FALSE)</f>
        <v>92.9</v>
      </c>
      <c r="E35" s="88">
        <f>VLOOKUP($B35,dados!$D$4:$U$272,4,FALSE)</f>
        <v>111.7</v>
      </c>
      <c r="F35" s="88">
        <f>VLOOKUP($B35,dados!$D$4:$U$272,5,FALSE)</f>
        <v>85.5</v>
      </c>
      <c r="G35" s="88">
        <f>VLOOKUP($B35,dados!$D$4:$U$272,6,FALSE)</f>
        <v>129.30000000000001</v>
      </c>
      <c r="H35" s="88">
        <f>VLOOKUP($B35,dados!$D$4:$U$272,7,FALSE)</f>
        <v>104.1</v>
      </c>
      <c r="I35" s="88">
        <f>VLOOKUP($B35,dados!$D$4:$U$272,8,FALSE)</f>
        <v>55</v>
      </c>
      <c r="J35" s="88">
        <f>VLOOKUP($B35,dados!$D$4:$U$272,9,FALSE)</f>
        <v>84.2</v>
      </c>
      <c r="K35" s="88">
        <f>VLOOKUP($B35,dados!$D$4:$U$272,10,FALSE)</f>
        <v>72.2</v>
      </c>
      <c r="L35" s="88">
        <f>VLOOKUP($B35,dados!$D$4:$U$272,11,FALSE)</f>
        <v>86.2</v>
      </c>
      <c r="M35" s="88">
        <f>VLOOKUP($B35,dados!$D$4:$U$272,12,FALSE)</f>
        <v>107.5</v>
      </c>
      <c r="N35" s="88">
        <f>VLOOKUP($B35,dados!$D$4:$U$272,13,FALSE)</f>
        <v>84.2</v>
      </c>
      <c r="O35" s="88">
        <f>VLOOKUP($B35,dados!$D$4:$U$272,14,FALSE)</f>
        <v>75.8</v>
      </c>
      <c r="P35" s="88">
        <f>VLOOKUP($B35,dados!$D$4:$U$272,15,FALSE)</f>
        <v>75.900000000000006</v>
      </c>
      <c r="Q35" s="88">
        <f>VLOOKUP($B35,dados!$D$4:$U$272,16,FALSE)</f>
        <v>99.7</v>
      </c>
      <c r="R35" s="88">
        <f>VLOOKUP($B35,dados!$D$4:$U$272,17,FALSE)</f>
        <v>5.7</v>
      </c>
      <c r="S35" s="89">
        <f>VLOOKUP($B35,dados!$D$4:$U$272,18,FALSE)</f>
        <v>95.3</v>
      </c>
    </row>
    <row r="36" spans="1:19" s="21" customFormat="1" ht="12.75" x14ac:dyDescent="0.2">
      <c r="A36" s="22">
        <f t="shared" si="6"/>
        <v>2019</v>
      </c>
      <c r="B36" s="26">
        <v>43497</v>
      </c>
      <c r="C36" s="88">
        <f>VLOOKUP($B36,dados!$D$4:$U$272,2,FALSE)</f>
        <v>90.4</v>
      </c>
      <c r="D36" s="88">
        <f>VLOOKUP($B36,dados!$D$4:$U$272,3,FALSE)</f>
        <v>84.7</v>
      </c>
      <c r="E36" s="88">
        <f>VLOOKUP($B36,dados!$D$4:$U$272,4,FALSE)</f>
        <v>96.2</v>
      </c>
      <c r="F36" s="88">
        <f>VLOOKUP($B36,dados!$D$4:$U$272,5,FALSE)</f>
        <v>80.2</v>
      </c>
      <c r="G36" s="88">
        <f>VLOOKUP($B36,dados!$D$4:$U$272,6,FALSE)</f>
        <v>100.5</v>
      </c>
      <c r="H36" s="88">
        <f>VLOOKUP($B36,dados!$D$4:$U$272,7,FALSE)</f>
        <v>87.7</v>
      </c>
      <c r="I36" s="88">
        <f>VLOOKUP($B36,dados!$D$4:$U$272,8,FALSE)</f>
        <v>55.8</v>
      </c>
      <c r="J36" s="88">
        <f>VLOOKUP($B36,dados!$D$4:$U$272,9,FALSE)</f>
        <v>81.099999999999994</v>
      </c>
      <c r="K36" s="88">
        <f>VLOOKUP($B36,dados!$D$4:$U$272,10,FALSE)</f>
        <v>57.9</v>
      </c>
      <c r="L36" s="88">
        <f>VLOOKUP($B36,dados!$D$4:$U$272,11,FALSE)</f>
        <v>81.8</v>
      </c>
      <c r="M36" s="88">
        <f>VLOOKUP($B36,dados!$D$4:$U$272,12,FALSE)</f>
        <v>98.7</v>
      </c>
      <c r="N36" s="88">
        <f>VLOOKUP($B36,dados!$D$4:$U$272,13,FALSE)</f>
        <v>77.400000000000006</v>
      </c>
      <c r="O36" s="88">
        <f>VLOOKUP($B36,dados!$D$4:$U$272,14,FALSE)</f>
        <v>67.900000000000006</v>
      </c>
      <c r="P36" s="88">
        <f>VLOOKUP($B36,dados!$D$4:$U$272,15,FALSE)</f>
        <v>75</v>
      </c>
      <c r="Q36" s="88">
        <f>VLOOKUP($B36,dados!$D$4:$U$272,16,FALSE)</f>
        <v>110.8</v>
      </c>
      <c r="R36" s="88">
        <f>VLOOKUP($B36,dados!$D$4:$U$272,17,FALSE)</f>
        <v>5.0999999999999996</v>
      </c>
      <c r="S36" s="89">
        <f>VLOOKUP($B36,dados!$D$4:$U$272,18,FALSE)</f>
        <v>96.2</v>
      </c>
    </row>
    <row r="37" spans="1:19" s="21" customFormat="1" ht="12.75" x14ac:dyDescent="0.2">
      <c r="A37" s="22">
        <f t="shared" si="6"/>
        <v>2019</v>
      </c>
      <c r="B37" s="26">
        <v>43525</v>
      </c>
      <c r="C37" s="88">
        <f>VLOOKUP($B37,dados!$D$4:$U$272,2,FALSE)</f>
        <v>92.1</v>
      </c>
      <c r="D37" s="88">
        <f>VLOOKUP($B37,dados!$D$4:$U$272,3,FALSE)</f>
        <v>88.9</v>
      </c>
      <c r="E37" s="88">
        <f>VLOOKUP($B37,dados!$D$4:$U$272,4,FALSE)</f>
        <v>109</v>
      </c>
      <c r="F37" s="88">
        <f>VLOOKUP($B37,dados!$D$4:$U$272,5,FALSE)</f>
        <v>81</v>
      </c>
      <c r="G37" s="88">
        <f>VLOOKUP($B37,dados!$D$4:$U$272,6,FALSE)</f>
        <v>71</v>
      </c>
      <c r="H37" s="88">
        <f>VLOOKUP($B37,dados!$D$4:$U$272,7,FALSE)</f>
        <v>91.3</v>
      </c>
      <c r="I37" s="88">
        <f>VLOOKUP($B37,dados!$D$4:$U$272,8,FALSE)</f>
        <v>54.9</v>
      </c>
      <c r="J37" s="88">
        <f>VLOOKUP($B37,dados!$D$4:$U$272,9,FALSE)</f>
        <v>89.2</v>
      </c>
      <c r="K37" s="88">
        <f>VLOOKUP($B37,dados!$D$4:$U$272,10,FALSE)</f>
        <v>58.7</v>
      </c>
      <c r="L37" s="88">
        <f>VLOOKUP($B37,dados!$D$4:$U$272,11,FALSE)</f>
        <v>62.5</v>
      </c>
      <c r="M37" s="88">
        <f>VLOOKUP($B37,dados!$D$4:$U$272,12,FALSE)</f>
        <v>91.1</v>
      </c>
      <c r="N37" s="88">
        <f>VLOOKUP($B37,dados!$D$4:$U$272,13,FALSE)</f>
        <v>83</v>
      </c>
      <c r="O37" s="88">
        <f>VLOOKUP($B37,dados!$D$4:$U$272,14,FALSE)</f>
        <v>76.5</v>
      </c>
      <c r="P37" s="88">
        <f>VLOOKUP($B37,dados!$D$4:$U$272,15,FALSE)</f>
        <v>94.8</v>
      </c>
      <c r="Q37" s="88">
        <f>VLOOKUP($B37,dados!$D$4:$U$272,16,FALSE)</f>
        <v>92.2</v>
      </c>
      <c r="R37" s="88">
        <f>VLOOKUP($B37,dados!$D$4:$U$272,17,FALSE)</f>
        <v>4.4000000000000004</v>
      </c>
      <c r="S37" s="89">
        <f>VLOOKUP($B37,dados!$D$4:$U$272,18,FALSE)</f>
        <v>94</v>
      </c>
    </row>
    <row r="38" spans="1:19" s="21" customFormat="1" ht="12.75" x14ac:dyDescent="0.2">
      <c r="A38" s="22">
        <f t="shared" si="6"/>
        <v>2019</v>
      </c>
      <c r="B38" s="26">
        <v>43556</v>
      </c>
      <c r="C38" s="88">
        <f>VLOOKUP($B38,dados!$D$4:$U$272,2,FALSE)</f>
        <v>88</v>
      </c>
      <c r="D38" s="88">
        <f>VLOOKUP($B38,dados!$D$4:$U$272,3,FALSE)</f>
        <v>86.4</v>
      </c>
      <c r="E38" s="88">
        <f>VLOOKUP($B38,dados!$D$4:$U$272,4,FALSE)</f>
        <v>109.6</v>
      </c>
      <c r="F38" s="88">
        <f>VLOOKUP($B38,dados!$D$4:$U$272,5,FALSE)</f>
        <v>77.2</v>
      </c>
      <c r="G38" s="88">
        <f>VLOOKUP($B38,dados!$D$4:$U$272,6,FALSE)</f>
        <v>82.8</v>
      </c>
      <c r="H38" s="88">
        <f>VLOOKUP($B38,dados!$D$4:$U$272,7,FALSE)</f>
        <v>84.8</v>
      </c>
      <c r="I38" s="88">
        <f>VLOOKUP($B38,dados!$D$4:$U$272,8,FALSE)</f>
        <v>69.099999999999994</v>
      </c>
      <c r="J38" s="88">
        <f>VLOOKUP($B38,dados!$D$4:$U$272,9,FALSE)</f>
        <v>73.2</v>
      </c>
      <c r="K38" s="88">
        <f>VLOOKUP($B38,dados!$D$4:$U$272,10,FALSE)</f>
        <v>61.4</v>
      </c>
      <c r="L38" s="88">
        <f>VLOOKUP($B38,dados!$D$4:$U$272,11,FALSE)</f>
        <v>56</v>
      </c>
      <c r="M38" s="88">
        <f>VLOOKUP($B38,dados!$D$4:$U$272,12,FALSE)</f>
        <v>102.1</v>
      </c>
      <c r="N38" s="88">
        <f>VLOOKUP($B38,dados!$D$4:$U$272,13,FALSE)</f>
        <v>90.6</v>
      </c>
      <c r="O38" s="88">
        <f>VLOOKUP($B38,dados!$D$4:$U$272,14,FALSE)</f>
        <v>70.2</v>
      </c>
      <c r="P38" s="88">
        <f>VLOOKUP($B38,dados!$D$4:$U$272,15,FALSE)</f>
        <v>89.8</v>
      </c>
      <c r="Q38" s="88">
        <f>VLOOKUP($B38,dados!$D$4:$U$272,16,FALSE)</f>
        <v>116</v>
      </c>
      <c r="R38" s="88">
        <f>VLOOKUP($B38,dados!$D$4:$U$272,17,FALSE)</f>
        <v>5.7</v>
      </c>
      <c r="S38" s="89">
        <f>VLOOKUP($B38,dados!$D$4:$U$272,18,FALSE)</f>
        <v>96.4</v>
      </c>
    </row>
    <row r="39" spans="1:19" s="21" customFormat="1" ht="12.75" x14ac:dyDescent="0.2">
      <c r="A39" s="22">
        <f t="shared" si="6"/>
        <v>2019</v>
      </c>
      <c r="B39" s="26">
        <v>43586</v>
      </c>
      <c r="C39" s="88">
        <f>VLOOKUP($B39,dados!$D$4:$U$272,2,FALSE)</f>
        <v>95.2</v>
      </c>
      <c r="D39" s="88">
        <f>VLOOKUP($B39,dados!$D$4:$U$272,3,FALSE)</f>
        <v>95.6</v>
      </c>
      <c r="E39" s="88">
        <f>VLOOKUP($B39,dados!$D$4:$U$272,4,FALSE)</f>
        <v>120.7</v>
      </c>
      <c r="F39" s="88">
        <f>VLOOKUP($B39,dados!$D$4:$U$272,5,FALSE)</f>
        <v>85.7</v>
      </c>
      <c r="G39" s="88">
        <f>VLOOKUP($B39,dados!$D$4:$U$272,6,FALSE)</f>
        <v>69.400000000000006</v>
      </c>
      <c r="H39" s="88">
        <f>VLOOKUP($B39,dados!$D$4:$U$272,7,FALSE)</f>
        <v>87</v>
      </c>
      <c r="I39" s="88">
        <f>VLOOKUP($B39,dados!$D$4:$U$272,8,FALSE)</f>
        <v>54</v>
      </c>
      <c r="J39" s="88">
        <f>VLOOKUP($B39,dados!$D$4:$U$272,9,FALSE)</f>
        <v>95.4</v>
      </c>
      <c r="K39" s="88">
        <f>VLOOKUP($B39,dados!$D$4:$U$272,10,FALSE)</f>
        <v>64.7</v>
      </c>
      <c r="L39" s="88">
        <f>VLOOKUP($B39,dados!$D$4:$U$272,11,FALSE)</f>
        <v>69.7</v>
      </c>
      <c r="M39" s="88">
        <f>VLOOKUP($B39,dados!$D$4:$U$272,12,FALSE)</f>
        <v>105.5</v>
      </c>
      <c r="N39" s="88">
        <f>VLOOKUP($B39,dados!$D$4:$U$272,13,FALSE)</f>
        <v>94.8</v>
      </c>
      <c r="O39" s="88">
        <f>VLOOKUP($B39,dados!$D$4:$U$272,14,FALSE)</f>
        <v>67.900000000000006</v>
      </c>
      <c r="P39" s="88">
        <f>VLOOKUP($B39,dados!$D$4:$U$272,15,FALSE)</f>
        <v>96.7</v>
      </c>
      <c r="Q39" s="88">
        <f>VLOOKUP($B39,dados!$D$4:$U$272,16,FALSE)</f>
        <v>115.7</v>
      </c>
      <c r="R39" s="88">
        <f>VLOOKUP($B39,dados!$D$4:$U$272,17,FALSE)</f>
        <v>5.7</v>
      </c>
      <c r="S39" s="89">
        <f>VLOOKUP($B39,dados!$D$4:$U$272,18,FALSE)</f>
        <v>102.8</v>
      </c>
    </row>
    <row r="40" spans="1:19" s="21" customFormat="1" ht="12.75" x14ac:dyDescent="0.2">
      <c r="A40" s="22">
        <f t="shared" ref="A40:A42" si="19">YEAR(B40)</f>
        <v>2019</v>
      </c>
      <c r="B40" s="26">
        <v>43617</v>
      </c>
      <c r="C40" s="88">
        <f>VLOOKUP($B40,dados!$D$4:$U$272,2,FALSE)</f>
        <v>89.5</v>
      </c>
      <c r="D40" s="88">
        <f>VLOOKUP($B40,dados!$D$4:$U$272,3,FALSE)</f>
        <v>87.6</v>
      </c>
      <c r="E40" s="88">
        <f>VLOOKUP($B40,dados!$D$4:$U$272,4,FALSE)</f>
        <v>105.5</v>
      </c>
      <c r="F40" s="88">
        <f>VLOOKUP($B40,dados!$D$4:$U$272,5,FALSE)</f>
        <v>80.5</v>
      </c>
      <c r="G40" s="88">
        <f>VLOOKUP($B40,dados!$D$4:$U$272,6,FALSE)</f>
        <v>67.8</v>
      </c>
      <c r="H40" s="88">
        <f>VLOOKUP($B40,dados!$D$4:$U$272,7,FALSE)</f>
        <v>81</v>
      </c>
      <c r="I40" s="88">
        <f>VLOOKUP($B40,dados!$D$4:$U$272,8,FALSE)</f>
        <v>115.8</v>
      </c>
      <c r="J40" s="88">
        <f>VLOOKUP($B40,dados!$D$4:$U$272,9,FALSE)</f>
        <v>86.8</v>
      </c>
      <c r="K40" s="88">
        <f>VLOOKUP($B40,dados!$D$4:$U$272,10,FALSE)</f>
        <v>57.7</v>
      </c>
      <c r="L40" s="88">
        <f>VLOOKUP($B40,dados!$D$4:$U$272,11,FALSE)</f>
        <v>63.6</v>
      </c>
      <c r="M40" s="88">
        <f>VLOOKUP($B40,dados!$D$4:$U$272,12,FALSE)</f>
        <v>96.9</v>
      </c>
      <c r="N40" s="88">
        <f>VLOOKUP($B40,dados!$D$4:$U$272,13,FALSE)</f>
        <v>90.6</v>
      </c>
      <c r="O40" s="88">
        <f>VLOOKUP($B40,dados!$D$4:$U$272,14,FALSE)</f>
        <v>65.099999999999994</v>
      </c>
      <c r="P40" s="88">
        <f>VLOOKUP($B40,dados!$D$4:$U$272,15,FALSE)</f>
        <v>97.8</v>
      </c>
      <c r="Q40" s="88">
        <f>VLOOKUP($B40,dados!$D$4:$U$272,16,FALSE)</f>
        <v>101.7</v>
      </c>
      <c r="R40" s="88">
        <f>VLOOKUP($B40,dados!$D$4:$U$272,17,FALSE)</f>
        <v>6.8</v>
      </c>
      <c r="S40" s="89">
        <f>VLOOKUP($B40,dados!$D$4:$U$272,18,FALSE)</f>
        <v>94.1</v>
      </c>
    </row>
    <row r="41" spans="1:19" s="21" customFormat="1" ht="12.75" x14ac:dyDescent="0.2">
      <c r="A41" s="22">
        <f t="shared" si="19"/>
        <v>2019</v>
      </c>
      <c r="B41" s="26">
        <v>43647</v>
      </c>
      <c r="C41" s="88">
        <f>VLOOKUP($B41,dados!$D$4:$U$272,2,FALSE)</f>
        <v>95.6</v>
      </c>
      <c r="D41" s="88">
        <f>VLOOKUP($B41,dados!$D$4:$U$272,3,FALSE)</f>
        <v>100.3</v>
      </c>
      <c r="E41" s="88">
        <f>VLOOKUP($B41,dados!$D$4:$U$272,4,FALSE)</f>
        <v>124.9</v>
      </c>
      <c r="F41" s="88">
        <f>VLOOKUP($B41,dados!$D$4:$U$272,5,FALSE)</f>
        <v>90.6</v>
      </c>
      <c r="G41" s="88">
        <f>VLOOKUP($B41,dados!$D$4:$U$272,6,FALSE)</f>
        <v>92</v>
      </c>
      <c r="H41" s="88">
        <f>VLOOKUP($B41,dados!$D$4:$U$272,7,FALSE)</f>
        <v>81.400000000000006</v>
      </c>
      <c r="I41" s="88">
        <f>VLOOKUP($B41,dados!$D$4:$U$272,8,FALSE)</f>
        <v>118.6</v>
      </c>
      <c r="J41" s="88">
        <f>VLOOKUP($B41,dados!$D$4:$U$272,9,FALSE)</f>
        <v>98.3</v>
      </c>
      <c r="K41" s="88">
        <f>VLOOKUP($B41,dados!$D$4:$U$272,10,FALSE)</f>
        <v>76</v>
      </c>
      <c r="L41" s="88">
        <f>VLOOKUP($B41,dados!$D$4:$U$272,11,FALSE)</f>
        <v>66.900000000000006</v>
      </c>
      <c r="M41" s="88">
        <f>VLOOKUP($B41,dados!$D$4:$U$272,12,FALSE)</f>
        <v>104.1</v>
      </c>
      <c r="N41" s="88">
        <f>VLOOKUP($B41,dados!$D$4:$U$272,13,FALSE)</f>
        <v>95.4</v>
      </c>
      <c r="O41" s="88">
        <f>VLOOKUP($B41,dados!$D$4:$U$272,14,FALSE)</f>
        <v>65.2</v>
      </c>
      <c r="P41" s="88">
        <f>VLOOKUP($B41,dados!$D$4:$U$272,15,FALSE)</f>
        <v>101.8</v>
      </c>
      <c r="Q41" s="88">
        <f>VLOOKUP($B41,dados!$D$4:$U$272,16,FALSE)</f>
        <v>129.1</v>
      </c>
      <c r="R41" s="88">
        <f>VLOOKUP($B41,dados!$D$4:$U$272,17,FALSE)</f>
        <v>10.199999999999999</v>
      </c>
      <c r="S41" s="89">
        <f>VLOOKUP($B41,dados!$D$4:$U$272,18,FALSE)</f>
        <v>104.5</v>
      </c>
    </row>
    <row r="42" spans="1:19" s="21" customFormat="1" ht="12.75" x14ac:dyDescent="0.2">
      <c r="A42" s="22">
        <f t="shared" si="19"/>
        <v>2019</v>
      </c>
      <c r="B42" s="26">
        <v>43678</v>
      </c>
      <c r="C42" s="88">
        <f>VLOOKUP($B42,dados!$D$4:$U$272,2,FALSE)</f>
        <v>96.9</v>
      </c>
      <c r="D42" s="88">
        <f>VLOOKUP($B42,dados!$D$4:$U$272,3,FALSE)</f>
        <v>99.2</v>
      </c>
      <c r="E42" s="88">
        <f>VLOOKUP($B42,dados!$D$4:$U$272,4,FALSE)</f>
        <v>135</v>
      </c>
      <c r="F42" s="88">
        <f>VLOOKUP($B42,dados!$D$4:$U$272,5,FALSE)</f>
        <v>85.1</v>
      </c>
      <c r="G42" s="88">
        <f>VLOOKUP($B42,dados!$D$4:$U$272,6,FALSE)</f>
        <v>89.3</v>
      </c>
      <c r="H42" s="88">
        <f>VLOOKUP($B42,dados!$D$4:$U$272,7,FALSE)</f>
        <v>79.599999999999994</v>
      </c>
      <c r="I42" s="88">
        <f>VLOOKUP($B42,dados!$D$4:$U$272,8,FALSE)</f>
        <v>67</v>
      </c>
      <c r="J42" s="88">
        <f>VLOOKUP($B42,dados!$D$4:$U$272,9,FALSE)</f>
        <v>91</v>
      </c>
      <c r="K42" s="88">
        <f>VLOOKUP($B42,dados!$D$4:$U$272,10,FALSE)</f>
        <v>86.6</v>
      </c>
      <c r="L42" s="88">
        <f>VLOOKUP($B42,dados!$D$4:$U$272,11,FALSE)</f>
        <v>65.8</v>
      </c>
      <c r="M42" s="88">
        <f>VLOOKUP($B42,dados!$D$4:$U$272,12,FALSE)</f>
        <v>105.6</v>
      </c>
      <c r="N42" s="88">
        <f>VLOOKUP($B42,dados!$D$4:$U$272,13,FALSE)</f>
        <v>102.4</v>
      </c>
      <c r="O42" s="88">
        <f>VLOOKUP($B42,dados!$D$4:$U$272,14,FALSE)</f>
        <v>57.8</v>
      </c>
      <c r="P42" s="88">
        <f>VLOOKUP($B42,dados!$D$4:$U$272,15,FALSE)</f>
        <v>98.1</v>
      </c>
      <c r="Q42" s="88">
        <f>VLOOKUP($B42,dados!$D$4:$U$272,16,FALSE)</f>
        <v>119.4</v>
      </c>
      <c r="R42" s="88">
        <f>VLOOKUP($B42,dados!$D$4:$U$272,17,FALSE)</f>
        <v>11.3</v>
      </c>
      <c r="S42" s="89">
        <f>VLOOKUP($B42,dados!$D$4:$U$272,18,FALSE)</f>
        <v>97.9</v>
      </c>
    </row>
    <row r="43" spans="1:19" s="21" customFormat="1" ht="12.75" x14ac:dyDescent="0.2">
      <c r="A43" s="22">
        <f t="shared" ref="A43:A44" si="20">YEAR(B43)</f>
        <v>2019</v>
      </c>
      <c r="B43" s="26">
        <v>43709</v>
      </c>
      <c r="C43" s="88">
        <f>VLOOKUP($B43,dados!$D$4:$U$272,2,FALSE)</f>
        <v>96.3</v>
      </c>
      <c r="D43" s="88">
        <f>VLOOKUP($B43,dados!$D$4:$U$272,3,FALSE)</f>
        <v>97.1</v>
      </c>
      <c r="E43" s="88">
        <f>VLOOKUP($B43,dados!$D$4:$U$272,4,FALSE)</f>
        <v>127</v>
      </c>
      <c r="F43" s="88">
        <f>VLOOKUP($B43,dados!$D$4:$U$272,5,FALSE)</f>
        <v>85.4</v>
      </c>
      <c r="G43" s="88">
        <f>VLOOKUP($B43,dados!$D$4:$U$272,6,FALSE)</f>
        <v>94</v>
      </c>
      <c r="H43" s="88">
        <f>VLOOKUP($B43,dados!$D$4:$U$272,7,FALSE)</f>
        <v>83.5</v>
      </c>
      <c r="I43" s="88">
        <f>VLOOKUP($B43,dados!$D$4:$U$272,8,FALSE)</f>
        <v>67.400000000000006</v>
      </c>
      <c r="J43" s="88">
        <f>VLOOKUP($B43,dados!$D$4:$U$272,9,FALSE)</f>
        <v>90.5</v>
      </c>
      <c r="K43" s="88">
        <f>VLOOKUP($B43,dados!$D$4:$U$272,10,FALSE)</f>
        <v>95</v>
      </c>
      <c r="L43" s="88">
        <f>VLOOKUP($B43,dados!$D$4:$U$272,11,FALSE)</f>
        <v>64.400000000000006</v>
      </c>
      <c r="M43" s="88">
        <f>VLOOKUP($B43,dados!$D$4:$U$272,12,FALSE)</f>
        <v>101.4</v>
      </c>
      <c r="N43" s="88">
        <f>VLOOKUP($B43,dados!$D$4:$U$272,13,FALSE)</f>
        <v>93.4</v>
      </c>
      <c r="O43" s="88">
        <f>VLOOKUP($B43,dados!$D$4:$U$272,14,FALSE)</f>
        <v>63.2</v>
      </c>
      <c r="P43" s="88">
        <f>VLOOKUP($B43,dados!$D$4:$U$272,15,FALSE)</f>
        <v>90</v>
      </c>
      <c r="Q43" s="88">
        <f>VLOOKUP($B43,dados!$D$4:$U$272,16,FALSE)</f>
        <v>114.6</v>
      </c>
      <c r="R43" s="88">
        <f>VLOOKUP($B43,dados!$D$4:$U$272,17,FALSE)</f>
        <v>10.8</v>
      </c>
      <c r="S43" s="89">
        <f>VLOOKUP($B43,dados!$D$4:$U$272,18,FALSE)</f>
        <v>93.7</v>
      </c>
    </row>
    <row r="44" spans="1:19" s="21" customFormat="1" ht="12.75" x14ac:dyDescent="0.2">
      <c r="A44" s="22">
        <f t="shared" si="20"/>
        <v>2019</v>
      </c>
      <c r="B44" s="26">
        <v>43739</v>
      </c>
      <c r="C44" s="88">
        <f>VLOOKUP($B44,dados!$D$4:$U$272,2,FALSE)</f>
        <v>97.1</v>
      </c>
      <c r="D44" s="88">
        <f>VLOOKUP($B44,dados!$D$4:$U$272,3,FALSE)</f>
        <v>104.1</v>
      </c>
      <c r="E44" s="88">
        <f>VLOOKUP($B44,dados!$D$4:$U$272,4,FALSE)</f>
        <v>132.19999999999999</v>
      </c>
      <c r="F44" s="88">
        <f>VLOOKUP($B44,dados!$D$4:$U$272,5,FALSE)</f>
        <v>93</v>
      </c>
      <c r="G44" s="88">
        <f>VLOOKUP($B44,dados!$D$4:$U$272,6,FALSE)</f>
        <v>112.2</v>
      </c>
      <c r="H44" s="88">
        <f>VLOOKUP($B44,dados!$D$4:$U$272,7,FALSE)</f>
        <v>97.2</v>
      </c>
      <c r="I44" s="88">
        <f>VLOOKUP($B44,dados!$D$4:$U$272,8,FALSE)</f>
        <v>64.3</v>
      </c>
      <c r="J44" s="88">
        <f>VLOOKUP($B44,dados!$D$4:$U$272,9,FALSE)</f>
        <v>102.3</v>
      </c>
      <c r="K44" s="88">
        <f>VLOOKUP($B44,dados!$D$4:$U$272,10,FALSE)</f>
        <v>82.1</v>
      </c>
      <c r="L44" s="88">
        <f>VLOOKUP($B44,dados!$D$4:$U$272,11,FALSE)</f>
        <v>65.099999999999994</v>
      </c>
      <c r="M44" s="88">
        <f>VLOOKUP($B44,dados!$D$4:$U$272,12,FALSE)</f>
        <v>102.5</v>
      </c>
      <c r="N44" s="88">
        <f>VLOOKUP($B44,dados!$D$4:$U$272,13,FALSE)</f>
        <v>103.3</v>
      </c>
      <c r="O44" s="88">
        <f>VLOOKUP($B44,dados!$D$4:$U$272,14,FALSE)</f>
        <v>64</v>
      </c>
      <c r="P44" s="88">
        <f>VLOOKUP($B44,dados!$D$4:$U$272,15,FALSE)</f>
        <v>96.8</v>
      </c>
      <c r="Q44" s="88">
        <f>VLOOKUP($B44,dados!$D$4:$U$272,16,FALSE)</f>
        <v>132.1</v>
      </c>
      <c r="R44" s="88">
        <f>VLOOKUP($B44,dados!$D$4:$U$272,17,FALSE)</f>
        <v>11.9</v>
      </c>
      <c r="S44" s="89">
        <f>VLOOKUP($B44,dados!$D$4:$U$272,18,FALSE)</f>
        <v>101.9</v>
      </c>
    </row>
    <row r="45" spans="1:19" s="21" customFormat="1" ht="12.75" x14ac:dyDescent="0.2">
      <c r="A45" s="22">
        <f t="shared" ref="A45" si="21">YEAR(B45)</f>
        <v>2019</v>
      </c>
      <c r="B45" s="26">
        <v>43770</v>
      </c>
      <c r="C45" s="88">
        <f>VLOOKUP($B45,dados!$D$4:$U$272,2,FALSE)</f>
        <v>101</v>
      </c>
      <c r="D45" s="88">
        <f>VLOOKUP($B45,dados!$D$4:$U$272,3,FALSE)</f>
        <v>103.6</v>
      </c>
      <c r="E45" s="88">
        <f>VLOOKUP($B45,dados!$D$4:$U$272,4,FALSE)</f>
        <v>139.4</v>
      </c>
      <c r="F45" s="88">
        <f>VLOOKUP($B45,dados!$D$4:$U$272,5,FALSE)</f>
        <v>89.4</v>
      </c>
      <c r="G45" s="88">
        <f>VLOOKUP($B45,dados!$D$4:$U$272,6,FALSE)</f>
        <v>97.3</v>
      </c>
      <c r="H45" s="88">
        <f>VLOOKUP($B45,dados!$D$4:$U$272,7,FALSE)</f>
        <v>99.6</v>
      </c>
      <c r="I45" s="88">
        <f>VLOOKUP($B45,dados!$D$4:$U$272,8,FALSE)</f>
        <v>40.9</v>
      </c>
      <c r="J45" s="88">
        <f>VLOOKUP($B45,dados!$D$4:$U$272,9,FALSE)</f>
        <v>105.9</v>
      </c>
      <c r="K45" s="88">
        <f>VLOOKUP($B45,dados!$D$4:$U$272,10,FALSE)</f>
        <v>72.400000000000006</v>
      </c>
      <c r="L45" s="88">
        <f>VLOOKUP($B45,dados!$D$4:$U$272,11,FALSE)</f>
        <v>66.400000000000006</v>
      </c>
      <c r="M45" s="88">
        <f>VLOOKUP($B45,dados!$D$4:$U$272,12,FALSE)</f>
        <v>98.2</v>
      </c>
      <c r="N45" s="88">
        <f>VLOOKUP($B45,dados!$D$4:$U$272,13,FALSE)</f>
        <v>100.1</v>
      </c>
      <c r="O45" s="88">
        <f>VLOOKUP($B45,dados!$D$4:$U$272,14,FALSE)</f>
        <v>70.8</v>
      </c>
      <c r="P45" s="88">
        <f>VLOOKUP($B45,dados!$D$4:$U$272,15,FALSE)</f>
        <v>82.6</v>
      </c>
      <c r="Q45" s="88">
        <f>VLOOKUP($B45,dados!$D$4:$U$272,16,FALSE)</f>
        <v>95</v>
      </c>
      <c r="R45" s="88">
        <f>VLOOKUP($B45,dados!$D$4:$U$272,17,FALSE)</f>
        <v>10.7</v>
      </c>
      <c r="S45" s="89">
        <f>VLOOKUP($B45,dados!$D$4:$U$272,18,FALSE)</f>
        <v>92.9</v>
      </c>
    </row>
    <row r="46" spans="1:19" s="21" customFormat="1" ht="12.75" x14ac:dyDescent="0.2">
      <c r="A46" s="22">
        <f t="shared" ref="A46" si="22">YEAR(B46)</f>
        <v>2019</v>
      </c>
      <c r="B46" s="26">
        <v>43800</v>
      </c>
      <c r="C46" s="88">
        <f>VLOOKUP($B46,dados!$D$4:$U$272,2,FALSE)</f>
        <v>97.1</v>
      </c>
      <c r="D46" s="88">
        <f>VLOOKUP($B46,dados!$D$4:$U$272,3,FALSE)</f>
        <v>98.5</v>
      </c>
      <c r="E46" s="88">
        <f>VLOOKUP($B46,dados!$D$4:$U$272,4,FALSE)</f>
        <v>145.4</v>
      </c>
      <c r="F46" s="88">
        <f>VLOOKUP($B46,dados!$D$4:$U$272,5,FALSE)</f>
        <v>80</v>
      </c>
      <c r="G46" s="88">
        <f>VLOOKUP($B46,dados!$D$4:$U$272,6,FALSE)</f>
        <v>75</v>
      </c>
      <c r="H46" s="88">
        <f>VLOOKUP($B46,dados!$D$4:$U$272,7,FALSE)</f>
        <v>114</v>
      </c>
      <c r="I46" s="88">
        <f>VLOOKUP($B46,dados!$D$4:$U$272,8,FALSE)</f>
        <v>60.3</v>
      </c>
      <c r="J46" s="88">
        <f>VLOOKUP($B46,dados!$D$4:$U$272,9,FALSE)</f>
        <v>94.6</v>
      </c>
      <c r="K46" s="88">
        <f>VLOOKUP($B46,dados!$D$4:$U$272,10,FALSE)</f>
        <v>51.7</v>
      </c>
      <c r="L46" s="88">
        <f>VLOOKUP($B46,dados!$D$4:$U$272,11,FALSE)</f>
        <v>63.5</v>
      </c>
      <c r="M46" s="88">
        <f>VLOOKUP($B46,dados!$D$4:$U$272,12,FALSE)</f>
        <v>72.5</v>
      </c>
      <c r="N46" s="88">
        <f>VLOOKUP($B46,dados!$D$4:$U$272,13,FALSE)</f>
        <v>96.9</v>
      </c>
      <c r="O46" s="88">
        <f>VLOOKUP($B46,dados!$D$4:$U$272,14,FALSE)</f>
        <v>72.400000000000006</v>
      </c>
      <c r="P46" s="88">
        <f>VLOOKUP($B46,dados!$D$4:$U$272,15,FALSE)</f>
        <v>83.2</v>
      </c>
      <c r="Q46" s="88">
        <f>VLOOKUP($B46,dados!$D$4:$U$272,16,FALSE)</f>
        <v>61.5</v>
      </c>
      <c r="R46" s="88">
        <f>VLOOKUP($B46,dados!$D$4:$U$272,17,FALSE)</f>
        <v>8</v>
      </c>
      <c r="S46" s="89">
        <f>VLOOKUP($B46,dados!$D$4:$U$272,18,FALSE)</f>
        <v>86.2</v>
      </c>
    </row>
    <row r="47" spans="1:19" s="21" customFormat="1" ht="13.5" thickBot="1" x14ac:dyDescent="0.25">
      <c r="A47" s="23"/>
      <c r="B47" s="9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5"/>
    </row>
    <row r="48" spans="1:19" s="21" customFormat="1" ht="12.75" x14ac:dyDescent="0.2">
      <c r="A48" s="92" t="s">
        <v>2</v>
      </c>
      <c r="B48" s="93"/>
      <c r="C48" s="93"/>
      <c r="D48" s="93"/>
      <c r="E48" s="93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5"/>
    </row>
    <row r="49" spans="1:19" s="21" customFormat="1" ht="35.25" customHeight="1" x14ac:dyDescent="0.2">
      <c r="A49" s="37" t="str">
        <f>CONCATENATE("Variação do mês de ",(TEXT(A57,"MMMM"))&amp;" de "&amp;YEAR(A57)&amp;" /  mês anterior")</f>
        <v>Variação do mês de dezembro de 2019 /  mês anterior</v>
      </c>
      <c r="B49" s="38"/>
      <c r="C49" s="38">
        <f>IFERROR((C61-C62)/C62 * 100,"-")</f>
        <v>-3.861386138613867</v>
      </c>
      <c r="D49" s="38">
        <f>(D61-D62)/ABS(D62) * 100</f>
        <v>-4.9227799227799176</v>
      </c>
      <c r="E49" s="38">
        <f>IFERROR((E61-E62)/E62 * 100,"-")</f>
        <v>4.3041606886657098</v>
      </c>
      <c r="F49" s="38">
        <f t="shared" ref="F49" si="23">IFERROR((F61-F62)/F62 * 100,"-")</f>
        <v>-10.514541387024614</v>
      </c>
      <c r="G49" s="38">
        <f t="shared" ref="G49" si="24">(G61-G62)/ABS(G62) * 100</f>
        <v>-22.91880781089414</v>
      </c>
      <c r="H49" s="38">
        <f t="shared" ref="H49:I49" si="25">IFERROR((H61-H62)/H62 * 100,"-")</f>
        <v>14.457831325301212</v>
      </c>
      <c r="I49" s="38">
        <f t="shared" si="25"/>
        <v>47.432762836185816</v>
      </c>
      <c r="J49" s="38">
        <f t="shared" ref="J49" si="26">(J61-J62)/ABS(J62) * 100</f>
        <v>-10.670443814919746</v>
      </c>
      <c r="K49" s="38">
        <f t="shared" ref="K49:L49" si="27">IFERROR((K61-K62)/K62 * 100,"-")</f>
        <v>-28.591160220994478</v>
      </c>
      <c r="L49" s="38">
        <f t="shared" si="27"/>
        <v>-4.3674698795180804</v>
      </c>
      <c r="M49" s="38">
        <f t="shared" ref="M49" si="28">(M61-M62)/ABS(M62) * 100</f>
        <v>-26.17107942973524</v>
      </c>
      <c r="N49" s="38">
        <f t="shared" ref="N49:O49" si="29">IFERROR((N61-N62)/N62 * 100,"-")</f>
        <v>-3.1968031968031858</v>
      </c>
      <c r="O49" s="38">
        <f t="shared" si="29"/>
        <v>2.2598870056497296</v>
      </c>
      <c r="P49" s="38">
        <f t="shared" ref="P49" si="30">(P61-P62)/ABS(P62) * 100</f>
        <v>0.72639225181599099</v>
      </c>
      <c r="Q49" s="38">
        <f t="shared" ref="Q49:R49" si="31">IFERROR((Q61-Q62)/Q62 * 100,"-")</f>
        <v>-35.263157894736842</v>
      </c>
      <c r="R49" s="38">
        <f t="shared" si="31"/>
        <v>-25.233644859813083</v>
      </c>
      <c r="S49" s="39">
        <f t="shared" ref="S49" si="32">(S61-S62)/ABS(S62) * 100</f>
        <v>-7.2120559741657724</v>
      </c>
    </row>
    <row r="50" spans="1:19" s="21" customFormat="1" ht="37.5" customHeight="1" x14ac:dyDescent="0.2">
      <c r="A50" s="40" t="str">
        <f>CONCATENATE("Variação de "&amp;TEXT(A57,"MMMM")&amp;" de "&amp;YEAR(A57)&amp;" /  igual mês do ano anterior")</f>
        <v>Variação de dezembro de 2019 /  igual mês do ano anterior</v>
      </c>
      <c r="B50" s="38"/>
      <c r="C50" s="38">
        <f t="shared" ref="C50:E50" si="33">IFERROR((C61-C63)/C63*100,"-")</f>
        <v>3.7393162393162394</v>
      </c>
      <c r="D50" s="38">
        <f>IFERROR((D61-D63)/ABS(D63)*100,"-")</f>
        <v>4.6758767268862975</v>
      </c>
      <c r="E50" s="38">
        <f t="shared" si="33"/>
        <v>27.543859649122808</v>
      </c>
      <c r="F50" s="38">
        <f t="shared" ref="F50" si="34">IFERROR((F61-F63)/F63*100,"-")</f>
        <v>-7.1925754060324847</v>
      </c>
      <c r="G50" s="38">
        <f t="shared" ref="G50" si="35">IFERROR((G61-G63)/ABS(G63)*100,"-")</f>
        <v>-41.497659906396251</v>
      </c>
      <c r="H50" s="38">
        <f t="shared" ref="H50:I50" si="36">IFERROR((H61-H63)/H63*100,"-")</f>
        <v>-1.8932874354561127</v>
      </c>
      <c r="I50" s="38">
        <f t="shared" si="36"/>
        <v>8.2585278276481038</v>
      </c>
      <c r="J50" s="38">
        <f t="shared" ref="J50" si="37">IFERROR((J61-J63)/ABS(J63)*100,"-")</f>
        <v>7.2562358276643897</v>
      </c>
      <c r="K50" s="38">
        <f t="shared" ref="K50:L50" si="38">IFERROR((K61-K63)/K63*100,"-")</f>
        <v>-25.611510791366904</v>
      </c>
      <c r="L50" s="38">
        <f t="shared" si="38"/>
        <v>-46.368243243243242</v>
      </c>
      <c r="M50" s="38">
        <f t="shared" ref="M50" si="39">IFERROR((M61-M63)/ABS(M63)*100,"-")</f>
        <v>-25.257731958762886</v>
      </c>
      <c r="N50" s="38">
        <f t="shared" ref="N50:O50" si="40">IFERROR((N61-N63)/N63*100,"-")</f>
        <v>7.1902654867256635</v>
      </c>
      <c r="O50" s="38">
        <f t="shared" si="40"/>
        <v>1.68539325842697</v>
      </c>
      <c r="P50" s="38">
        <f t="shared" ref="P50" si="41">IFERROR((P61-P63)/ABS(P63)*100,"-")</f>
        <v>4.9180327868852531</v>
      </c>
      <c r="Q50" s="38">
        <f t="shared" ref="Q50:R50" si="42">IFERROR((Q61-Q63)/Q63*100,"-")</f>
        <v>-22.053231939163503</v>
      </c>
      <c r="R50" s="38">
        <f t="shared" si="42"/>
        <v>100</v>
      </c>
      <c r="S50" s="39">
        <f t="shared" ref="S50" si="43">IFERROR((S61-S63)/ABS(S63)*100,"-")</f>
        <v>-4.0089086859688132</v>
      </c>
    </row>
    <row r="51" spans="1:19" ht="47.25" customHeight="1" thickBot="1" x14ac:dyDescent="0.3">
      <c r="A51" s="41" t="str">
        <f>CONCATENATE("Variação acumulada no ano "&amp;YEAR(A57)," até "&amp;TEXT(A57,"MMMM")&amp;"/ igual período do ano anterior")</f>
        <v>Variação acumulada no ano 2019 até dezembro/ igual período do ano anterior</v>
      </c>
      <c r="B51" s="42"/>
      <c r="C51" s="42">
        <f t="shared" ref="C51:E51" si="44">IFERROR((C64-C65)/C65 * 100,"-")</f>
        <v>1.6531895777178878</v>
      </c>
      <c r="D51" s="42">
        <f>IFERROR((D64-D65)/ABS(D65) * 100,"-")</f>
        <v>2.3638324644975897</v>
      </c>
      <c r="E51" s="42">
        <f t="shared" si="44"/>
        <v>14.710978106788486</v>
      </c>
      <c r="F51" s="42">
        <f t="shared" ref="F51" si="45">IFERROR((F64-F65)/F65 * 100,"-")</f>
        <v>-3.5217970683419213</v>
      </c>
      <c r="G51" s="42">
        <f t="shared" ref="G51" si="46">IFERROR((G64-G65)/ABS(G65) * 100,"-")</f>
        <v>-7.5462012320328578</v>
      </c>
      <c r="H51" s="42">
        <f t="shared" ref="H51:I51" si="47">IFERROR((H64-H65)/H65 * 100,"-")</f>
        <v>-0.98003629764062861</v>
      </c>
      <c r="I51" s="42">
        <f t="shared" si="47"/>
        <v>22.176042748998032</v>
      </c>
      <c r="J51" s="42">
        <f t="shared" ref="J51" si="48">IFERROR((J64-J65)/ABS(J65) * 100,"-")</f>
        <v>1.5145883664746502</v>
      </c>
      <c r="K51" s="42">
        <f t="shared" ref="K51:L51" si="49">IFERROR((K64-K65)/K65 * 100,"-")</f>
        <v>-13.853125965598917</v>
      </c>
      <c r="L51" s="42">
        <f t="shared" si="49"/>
        <v>-23.593073593073587</v>
      </c>
      <c r="M51" s="42">
        <f t="shared" ref="M51" si="50">IFERROR((M64-M65)/ABS(M65) * 100,"-")</f>
        <v>-4.4315526549029265</v>
      </c>
      <c r="N51" s="42">
        <f t="shared" ref="N51:O51" si="51">IFERROR((N64-N65)/N65 * 100,"-")</f>
        <v>5.1929625425652759</v>
      </c>
      <c r="O51" s="42">
        <f t="shared" si="51"/>
        <v>-11.140121845082691</v>
      </c>
      <c r="P51" s="42">
        <f t="shared" ref="P51" si="52">IFERROR((P64-P65)/ABS(P65) * 100,"-")</f>
        <v>11.322501028383398</v>
      </c>
      <c r="Q51" s="42">
        <f t="shared" ref="Q51:R51" si="53">IFERROR((Q64-Q65)/Q65 * 100,"-")</f>
        <v>-5.1693667157584873</v>
      </c>
      <c r="R51" s="42">
        <f t="shared" si="53"/>
        <v>-16.187989556135769</v>
      </c>
      <c r="S51" s="43">
        <f t="shared" ref="S51" si="54">IFERROR((S64-S65)/ABS(S65) * 100,"-")</f>
        <v>-4.0348692403486668</v>
      </c>
    </row>
    <row r="52" spans="1:19" x14ac:dyDescent="0.25">
      <c r="A52" s="81" t="s">
        <v>38</v>
      </c>
      <c r="B52" s="59"/>
      <c r="C52" s="59"/>
      <c r="D52" s="59"/>
      <c r="E52" s="59"/>
    </row>
    <row r="53" spans="1:19" x14ac:dyDescent="0.25">
      <c r="A53" s="90" t="s">
        <v>41</v>
      </c>
      <c r="B53" s="60"/>
      <c r="C53" s="60"/>
      <c r="D53" s="60"/>
      <c r="E53" s="60"/>
    </row>
    <row r="54" spans="1:19" x14ac:dyDescent="0.25">
      <c r="A54" s="82" t="s">
        <v>1</v>
      </c>
      <c r="B54" s="45"/>
      <c r="C54" s="45"/>
      <c r="D54" s="45"/>
      <c r="E54" s="45"/>
    </row>
    <row r="55" spans="1:19" x14ac:dyDescent="0.25">
      <c r="A55" s="44"/>
      <c r="B55" s="45"/>
      <c r="C55" s="45"/>
      <c r="D55" s="45"/>
      <c r="E55" s="45"/>
    </row>
    <row r="56" spans="1:19" x14ac:dyDescent="0.25">
      <c r="A56" s="120" t="s">
        <v>13</v>
      </c>
      <c r="B56" s="121"/>
      <c r="C56" s="121"/>
      <c r="D56" s="121"/>
      <c r="E56" s="121"/>
    </row>
    <row r="57" spans="1:19" x14ac:dyDescent="0.25">
      <c r="A57" s="122">
        <v>43800</v>
      </c>
      <c r="B57" s="123"/>
      <c r="C57" s="123"/>
      <c r="D57" s="123"/>
      <c r="E57" s="123"/>
    </row>
    <row r="58" spans="1:19" x14ac:dyDescent="0.25">
      <c r="A58" s="46"/>
      <c r="B58" s="6"/>
      <c r="C58" s="6"/>
      <c r="D58" s="6"/>
      <c r="E58" s="6"/>
    </row>
    <row r="59" spans="1:19" x14ac:dyDescent="0.25">
      <c r="A59" s="46"/>
      <c r="B59" s="6"/>
      <c r="C59" s="6"/>
      <c r="D59" s="6"/>
      <c r="E59" s="6"/>
    </row>
    <row r="60" spans="1:19" hidden="1" x14ac:dyDescent="0.25">
      <c r="A60" s="46"/>
      <c r="B60" s="6"/>
      <c r="C60" s="6"/>
      <c r="D60" s="6"/>
      <c r="E60" s="6"/>
    </row>
    <row r="61" spans="1:19" hidden="1" x14ac:dyDescent="0.25">
      <c r="A61" s="47">
        <f>A57</f>
        <v>43800</v>
      </c>
      <c r="B61" s="48"/>
      <c r="C61" s="91">
        <f>VLOOKUP(YEAR($A$57)&amp;MONTH($A$57),dados!$A$4:$AE$14734,5,FALSE)</f>
        <v>97.1</v>
      </c>
      <c r="D61" s="91">
        <f>VLOOKUP(YEAR($A$57)&amp;MONTH($A$57),dados!$A$4:$AE$14734,6,FALSE)</f>
        <v>98.5</v>
      </c>
      <c r="E61" s="91">
        <f>VLOOKUP(YEAR($A$57)&amp;MONTH($A$57),dados!$A$4:$AE$14734,7,FALSE)</f>
        <v>145.4</v>
      </c>
      <c r="F61" s="91">
        <f>VLOOKUP(YEAR($A$57)&amp;MONTH($A$57),dados!$A$4:$AE$14734,8,FALSE)</f>
        <v>80</v>
      </c>
      <c r="G61" s="91">
        <f>VLOOKUP(YEAR($A$57)&amp;MONTH($A$57),dados!$A$4:$AE$14734,9,FALSE)</f>
        <v>75</v>
      </c>
      <c r="H61" s="91">
        <f>VLOOKUP(YEAR($A$57)&amp;MONTH($A$57),dados!$A$4:$AE$14734,10,FALSE)</f>
        <v>114</v>
      </c>
      <c r="I61" s="91">
        <f>VLOOKUP(YEAR($A$57)&amp;MONTH($A$57),dados!$A$4:$AE$14734,11,FALSE)</f>
        <v>60.3</v>
      </c>
      <c r="J61" s="91">
        <f>VLOOKUP(YEAR($A$57)&amp;MONTH($A$57),dados!$A$4:$AE$14734,12,FALSE)</f>
        <v>94.6</v>
      </c>
      <c r="K61" s="91">
        <f>VLOOKUP(YEAR($A$57)&amp;MONTH($A$57),dados!$A$4:$AE$14734,13,FALSE)</f>
        <v>51.7</v>
      </c>
      <c r="L61" s="91">
        <f>VLOOKUP(YEAR($A$57)&amp;MONTH($A$57),dados!$A$4:$AE$14734,14,FALSE)</f>
        <v>63.5</v>
      </c>
      <c r="M61" s="91">
        <f>VLOOKUP(YEAR($A$57)&amp;MONTH($A$57),dados!$A$4:$AE$14734,15,FALSE)</f>
        <v>72.5</v>
      </c>
      <c r="N61" s="91">
        <f>VLOOKUP(YEAR($A$57)&amp;MONTH($A$57),dados!$A$4:$AE$14734,16,FALSE)</f>
        <v>96.9</v>
      </c>
      <c r="O61" s="91">
        <f>VLOOKUP(YEAR($A$57)&amp;MONTH($A$57),dados!$A$4:$AE$14734,17,FALSE)</f>
        <v>72.400000000000006</v>
      </c>
      <c r="P61" s="91">
        <f>VLOOKUP(YEAR($A$57)&amp;MONTH($A$57),dados!$A$4:$AE$14734,18,FALSE)</f>
        <v>83.2</v>
      </c>
      <c r="Q61" s="91">
        <f>VLOOKUP(YEAR($A$57)&amp;MONTH($A$57),dados!$A$4:$AE$14734,19,FALSE)</f>
        <v>61.5</v>
      </c>
      <c r="R61" s="91">
        <f>VLOOKUP(YEAR($A$57)&amp;MONTH($A$57),dados!$A$4:$AE$14734,20,FALSE)</f>
        <v>8</v>
      </c>
      <c r="S61" s="91">
        <f>VLOOKUP(YEAR($A$57)&amp;MONTH($A$57),dados!$A$4:$AE$14734,21,FALSE)</f>
        <v>86.2</v>
      </c>
    </row>
    <row r="62" spans="1:19" hidden="1" x14ac:dyDescent="0.25">
      <c r="A62" s="47">
        <f>EDATE(A57,-1)</f>
        <v>43770</v>
      </c>
      <c r="B62" s="48"/>
      <c r="C62" s="91">
        <f>VLOOKUP(YEAR($A$62)&amp;MONTH($A$62),dados!$A$4:$AE$14734,5,FALSE)</f>
        <v>101</v>
      </c>
      <c r="D62" s="91">
        <f>VLOOKUP(YEAR($A$62)&amp;MONTH($A$62),dados!$A$4:$AE$14734,6,FALSE)</f>
        <v>103.6</v>
      </c>
      <c r="E62" s="91">
        <f>VLOOKUP(YEAR($A$62)&amp;MONTH($A$62),dados!$A$4:$AE$14734,7,FALSE)</f>
        <v>139.4</v>
      </c>
      <c r="F62" s="91">
        <f>VLOOKUP(YEAR($A$62)&amp;MONTH($A$62),dados!$A$4:$AE$14734,8,FALSE)</f>
        <v>89.4</v>
      </c>
      <c r="G62" s="91">
        <f>VLOOKUP(YEAR($A$62)&amp;MONTH($A$62),dados!$A$4:$AE$14734,9,FALSE)</f>
        <v>97.3</v>
      </c>
      <c r="H62" s="91">
        <f>VLOOKUP(YEAR($A$62)&amp;MONTH($A$62),dados!$A$4:$AE$14734,10,FALSE)</f>
        <v>99.6</v>
      </c>
      <c r="I62" s="91">
        <f>VLOOKUP(YEAR($A$62)&amp;MONTH($A$62),dados!$A$4:$AE$14734,11,FALSE)</f>
        <v>40.9</v>
      </c>
      <c r="J62" s="91">
        <f>VLOOKUP(YEAR($A$62)&amp;MONTH($A$62),dados!$A$4:$AE$14734,12,FALSE)</f>
        <v>105.9</v>
      </c>
      <c r="K62" s="91">
        <f>VLOOKUP(YEAR($A$62)&amp;MONTH($A$62),dados!$A$4:$AE$14734,13,FALSE)</f>
        <v>72.400000000000006</v>
      </c>
      <c r="L62" s="91">
        <f>VLOOKUP(YEAR($A$62)&amp;MONTH($A$62),dados!$A$4:$AE$14734,14,FALSE)</f>
        <v>66.400000000000006</v>
      </c>
      <c r="M62" s="91">
        <f>VLOOKUP(YEAR($A$62)&amp;MONTH($A$62),dados!$A$4:$AE$14734,15,FALSE)</f>
        <v>98.2</v>
      </c>
      <c r="N62" s="91">
        <f>VLOOKUP(YEAR($A$62)&amp;MONTH($A$62),dados!$A$4:$AE$14734,16,FALSE)</f>
        <v>100.1</v>
      </c>
      <c r="O62" s="91">
        <f>VLOOKUP(YEAR($A$62)&amp;MONTH($A$62),dados!$A$4:$AE$14734,17,FALSE)</f>
        <v>70.8</v>
      </c>
      <c r="P62" s="91">
        <f>VLOOKUP(YEAR($A$62)&amp;MONTH($A$62),dados!$A$4:$AE$14734,18,FALSE)</f>
        <v>82.6</v>
      </c>
      <c r="Q62" s="91">
        <f>VLOOKUP(YEAR($A$62)&amp;MONTH($A$62),dados!$A$4:$AE$14734,19,FALSE)</f>
        <v>95</v>
      </c>
      <c r="R62" s="91">
        <f>VLOOKUP(YEAR($A$62)&amp;MONTH($A$62),dados!$A$4:$AE$14734,20,FALSE)</f>
        <v>10.7</v>
      </c>
      <c r="S62" s="91">
        <f>VLOOKUP(YEAR($A$62)&amp;MONTH($A$62),dados!$A$4:$AE$14734,21,FALSE)</f>
        <v>92.9</v>
      </c>
    </row>
    <row r="63" spans="1:19" hidden="1" x14ac:dyDescent="0.25">
      <c r="A63" s="49">
        <f>EDATE(A57,-12)</f>
        <v>43435</v>
      </c>
      <c r="B63" s="48"/>
      <c r="C63" s="91">
        <f>VLOOKUP(YEAR($A$63)&amp;MONTH($A$63),dados!$A$4:$AE$14734,5,FALSE)</f>
        <v>93.6</v>
      </c>
      <c r="D63" s="91">
        <f>VLOOKUP(YEAR($A$63)&amp;MONTH($A$63),dados!$A$4:$AE$14734,6,FALSE)</f>
        <v>94.1</v>
      </c>
      <c r="E63" s="91">
        <f>VLOOKUP(YEAR($A$63)&amp;MONTH($A$63),dados!$A$4:$AE$14734,7,FALSE)</f>
        <v>114</v>
      </c>
      <c r="F63" s="91">
        <f>VLOOKUP(YEAR($A$63)&amp;MONTH($A$63),dados!$A$4:$AE$14734,8,FALSE)</f>
        <v>86.2</v>
      </c>
      <c r="G63" s="91">
        <f>VLOOKUP(YEAR($A$63)&amp;MONTH($A$63),dados!$A$4:$AE$14734,9,FALSE)</f>
        <v>128.19999999999999</v>
      </c>
      <c r="H63" s="91">
        <f>VLOOKUP(YEAR($A$63)&amp;MONTH($A$63),dados!$A$4:$AE$14734,10,FALSE)</f>
        <v>116.2</v>
      </c>
      <c r="I63" s="91">
        <f>VLOOKUP(YEAR($A$63)&amp;MONTH($A$63),dados!$A$4:$AE$14734,11,FALSE)</f>
        <v>55.7</v>
      </c>
      <c r="J63" s="91">
        <f>VLOOKUP(YEAR($A$63)&amp;MONTH($A$63),dados!$A$4:$AE$14734,12,FALSE)</f>
        <v>88.2</v>
      </c>
      <c r="K63" s="91">
        <f>VLOOKUP(YEAR($A$63)&amp;MONTH($A$63),dados!$A$4:$AE$14734,13,FALSE)</f>
        <v>69.5</v>
      </c>
      <c r="L63" s="91">
        <f>VLOOKUP(YEAR($A$63)&amp;MONTH($A$63),dados!$A$4:$AE$14734,14,FALSE)</f>
        <v>118.4</v>
      </c>
      <c r="M63" s="91">
        <f>VLOOKUP(YEAR($A$63)&amp;MONTH($A$63),dados!$A$4:$AE$14734,15,FALSE)</f>
        <v>97</v>
      </c>
      <c r="N63" s="91">
        <f>VLOOKUP(YEAR($A$63)&amp;MONTH($A$63),dados!$A$4:$AE$14734,16,FALSE)</f>
        <v>90.4</v>
      </c>
      <c r="O63" s="91">
        <f>VLOOKUP(YEAR($A$63)&amp;MONTH($A$63),dados!$A$4:$AE$14734,17,FALSE)</f>
        <v>71.2</v>
      </c>
      <c r="P63" s="91">
        <f>VLOOKUP(YEAR($A$63)&amp;MONTH($A$63),dados!$A$4:$AE$14734,18,FALSE)</f>
        <v>79.3</v>
      </c>
      <c r="Q63" s="91">
        <f>VLOOKUP(YEAR($A$63)&amp;MONTH($A$63),dados!$A$4:$AE$14734,19,FALSE)</f>
        <v>78.900000000000006</v>
      </c>
      <c r="R63" s="91">
        <f>VLOOKUP(YEAR($A$63)&amp;MONTH($A$63),dados!$A$4:$AE$14734,20,FALSE)</f>
        <v>4</v>
      </c>
      <c r="S63" s="91">
        <f>VLOOKUP(YEAR($A$63)&amp;MONTH($A$63),dados!$A$4:$AE$14734,21,FALSE)</f>
        <v>89.8</v>
      </c>
    </row>
    <row r="64" spans="1:19" ht="30" hidden="1" x14ac:dyDescent="0.25">
      <c r="A64" s="49" t="str">
        <f>CONCATENATE("Ano de "&amp;(YEAR(A61)&amp;" acumulado até "&amp;(TEXT(A61,"MMMM"))))</f>
        <v>Ano de 2019 acumulado até dezembro</v>
      </c>
      <c r="B64" s="48"/>
      <c r="C64" s="91">
        <f>VLOOKUP(YEAR($A$57)&amp;MONTH($A$57),dados_acumulados!$A$4:$AE$14734,5,FALSE)</f>
        <v>1131.4000000000001</v>
      </c>
      <c r="D64" s="91">
        <f>VLOOKUP(YEAR($A$57)&amp;MONTH($A$57),dados_acumulados!$A$4:$AE$14734,6,FALSE)</f>
        <v>1138.9000000000001</v>
      </c>
      <c r="E64" s="91">
        <f>VLOOKUP(YEAR($A$57)&amp;MONTH($A$57),dados_acumulados!$A$4:$AE$14734,7,FALSE)</f>
        <v>1456.6000000000001</v>
      </c>
      <c r="F64" s="91">
        <f>VLOOKUP(YEAR($A$57)&amp;MONTH($A$57),dados_acumulados!$A$4:$AE$14734,8,FALSE)</f>
        <v>1013.5999999999999</v>
      </c>
      <c r="G64" s="91">
        <f>VLOOKUP(YEAR($A$57)&amp;MONTH($A$57),dados_acumulados!$A$4:$AE$14734,9,FALSE)</f>
        <v>1080.5999999999999</v>
      </c>
      <c r="H64" s="91">
        <f>VLOOKUP(YEAR($A$57)&amp;MONTH($A$57),dados_acumulados!$A$4:$AE$14734,10,FALSE)</f>
        <v>1091.2000000000003</v>
      </c>
      <c r="I64" s="91">
        <f>VLOOKUP(YEAR($A$57)&amp;MONTH($A$57),dados_acumulados!$A$4:$AE$14734,11,FALSE)</f>
        <v>823.0999999999998</v>
      </c>
      <c r="J64" s="91">
        <f>VLOOKUP(YEAR($A$57)&amp;MONTH($A$57),dados_acumulados!$A$4:$AE$14734,12,FALSE)</f>
        <v>1092.5</v>
      </c>
      <c r="K64" s="91">
        <f>VLOOKUP(YEAR($A$57)&amp;MONTH($A$57),dados_acumulados!$A$4:$AE$14734,13,FALSE)</f>
        <v>836.40000000000009</v>
      </c>
      <c r="L64" s="91">
        <f>VLOOKUP(YEAR($A$57)&amp;MONTH($A$57),dados_acumulados!$A$4:$AE$14734,14,FALSE)</f>
        <v>811.9</v>
      </c>
      <c r="M64" s="91">
        <f>VLOOKUP(YEAR($A$57)&amp;MONTH($A$57),dados_acumulados!$A$4:$AE$14734,15,FALSE)</f>
        <v>1186.0999999999999</v>
      </c>
      <c r="N64" s="91">
        <f>VLOOKUP(YEAR($A$57)&amp;MONTH($A$57),dados_acumulados!$A$4:$AE$14734,16,FALSE)</f>
        <v>1112.0999999999999</v>
      </c>
      <c r="O64" s="91">
        <f>VLOOKUP(YEAR($A$57)&amp;MONTH($A$57),dados_acumulados!$A$4:$AE$14734,17,FALSE)</f>
        <v>816.8</v>
      </c>
      <c r="P64" s="91">
        <f>VLOOKUP(YEAR($A$57)&amp;MONTH($A$57),dados_acumulados!$A$4:$AE$14734,18,FALSE)</f>
        <v>1082.5</v>
      </c>
      <c r="Q64" s="91">
        <f>VLOOKUP(YEAR($A$57)&amp;MONTH($A$57),dados_acumulados!$A$4:$AE$14734,19,FALSE)</f>
        <v>1287.8</v>
      </c>
      <c r="R64" s="91">
        <f>VLOOKUP(YEAR($A$57)&amp;MONTH($A$57),dados_acumulados!$A$4:$AE$14734,20,FALSE)</f>
        <v>96.3</v>
      </c>
      <c r="S64" s="91">
        <f>VLOOKUP(YEAR($A$57)&amp;MONTH($A$57),dados_acumulados!$A$4:$AE$14734,21,FALSE)</f>
        <v>1155.9000000000001</v>
      </c>
    </row>
    <row r="65" spans="1:19" ht="30" hidden="1" x14ac:dyDescent="0.25">
      <c r="A65" s="49" t="str">
        <f>CONCATENATE("Ano de "&amp;(YEAR(A63)&amp;" acumulado até "&amp;(TEXT(A63,"MMMM"))))</f>
        <v>Ano de 2018 acumulado até dezembro</v>
      </c>
      <c r="B65" s="48"/>
      <c r="C65" s="91">
        <f>VLOOKUP(YEAR($A$63)&amp;MONTH($A$63),dados_acumulados!$A$4:$AE$14734,5,FALSE)</f>
        <v>1113</v>
      </c>
      <c r="D65" s="91">
        <f>VLOOKUP(YEAR($A$63)&amp;MONTH($A$63),dados_acumulados!$A$4:$AE$14734,6,FALSE)</f>
        <v>1112.5999999999999</v>
      </c>
      <c r="E65" s="91">
        <f>VLOOKUP(YEAR($A$63)&amp;MONTH($A$63),dados_acumulados!$A$4:$AE$14734,7,FALSE)</f>
        <v>1269.8</v>
      </c>
      <c r="F65" s="91">
        <f>VLOOKUP(YEAR($A$63)&amp;MONTH($A$63),dados_acumulados!$A$4:$AE$14734,8,FALSE)</f>
        <v>1050.6000000000001</v>
      </c>
      <c r="G65" s="91">
        <f>VLOOKUP(YEAR($A$63)&amp;MONTH($A$63),dados_acumulados!$A$4:$AE$14734,9,FALSE)</f>
        <v>1168.8</v>
      </c>
      <c r="H65" s="91">
        <f>VLOOKUP(YEAR($A$63)&amp;MONTH($A$63),dados_acumulados!$A$4:$AE$14734,10,FALSE)</f>
        <v>1102</v>
      </c>
      <c r="I65" s="91">
        <f>VLOOKUP(YEAR($A$63)&amp;MONTH($A$63),dados_acumulados!$A$4:$AE$14734,11,FALSE)</f>
        <v>673.7</v>
      </c>
      <c r="J65" s="91">
        <f>VLOOKUP(YEAR($A$63)&amp;MONTH($A$63),dados_acumulados!$A$4:$AE$14734,12,FALSE)</f>
        <v>1076.1999999999998</v>
      </c>
      <c r="K65" s="91">
        <f>VLOOKUP(YEAR($A$63)&amp;MONTH($A$63),dados_acumulados!$A$4:$AE$14734,13,FALSE)</f>
        <v>970.9</v>
      </c>
      <c r="L65" s="91">
        <f>VLOOKUP(YEAR($A$63)&amp;MONTH($A$63),dados_acumulados!$A$4:$AE$14734,14,FALSE)</f>
        <v>1062.5999999999999</v>
      </c>
      <c r="M65" s="91">
        <f>VLOOKUP(YEAR($A$63)&amp;MONTH($A$63),dados_acumulados!$A$4:$AE$14734,15,FALSE)</f>
        <v>1241.1000000000001</v>
      </c>
      <c r="N65" s="91">
        <f>VLOOKUP(YEAR($A$63)&amp;MONTH($A$63),dados_acumulados!$A$4:$AE$14734,16,FALSE)</f>
        <v>1057.1999999999998</v>
      </c>
      <c r="O65" s="91">
        <f>VLOOKUP(YEAR($A$63)&amp;MONTH($A$63),dados_acumulados!$A$4:$AE$14734,17,FALSE)</f>
        <v>919.2</v>
      </c>
      <c r="P65" s="91">
        <f>VLOOKUP(YEAR($A$63)&amp;MONTH($A$63),dados_acumulados!$A$4:$AE$14734,18,FALSE)</f>
        <v>972.39999999999986</v>
      </c>
      <c r="Q65" s="91">
        <f>VLOOKUP(YEAR($A$63)&amp;MONTH($A$63),dados_acumulados!$A$4:$AE$14734,19,FALSE)</f>
        <v>1358.0000000000002</v>
      </c>
      <c r="R65" s="91">
        <f>VLOOKUP(YEAR($A$63)&amp;MONTH($A$63),dados_acumulados!$A$4:$AE$14734,20,FALSE)</f>
        <v>114.89999999999999</v>
      </c>
      <c r="S65" s="91">
        <f>VLOOKUP(YEAR($A$63)&amp;MONTH($A$63),dados_acumulados!$A$4:$AE$14734,21,FALSE)</f>
        <v>1204.4999999999998</v>
      </c>
    </row>
    <row r="66" spans="1:19" hidden="1" x14ac:dyDescent="0.25">
      <c r="A66" s="46"/>
      <c r="B66" s="6"/>
      <c r="C66" s="6"/>
      <c r="D66" s="6"/>
      <c r="E66" s="6"/>
    </row>
    <row r="67" spans="1:19" x14ac:dyDescent="0.25">
      <c r="A67" s="46"/>
      <c r="B67" s="6"/>
      <c r="C67" s="6"/>
      <c r="D67" s="6"/>
      <c r="E67" s="6"/>
    </row>
    <row r="68" spans="1:19" x14ac:dyDescent="0.25">
      <c r="A68" s="46"/>
      <c r="B68" s="6"/>
      <c r="C68" s="6"/>
      <c r="D68" s="6"/>
      <c r="E68" s="6"/>
    </row>
    <row r="69" spans="1:19" x14ac:dyDescent="0.25">
      <c r="A69" s="46"/>
      <c r="B69" s="6"/>
      <c r="C69" s="6"/>
      <c r="D69" s="6"/>
      <c r="E69" s="6"/>
    </row>
    <row r="70" spans="1:19" x14ac:dyDescent="0.25">
      <c r="A70" s="46"/>
      <c r="B70" s="6"/>
      <c r="C70" s="6"/>
      <c r="D70" s="6"/>
      <c r="E70" s="6"/>
    </row>
  </sheetData>
  <autoFilter ref="A4:E42">
    <filterColumn colId="2" showButton="0"/>
    <filterColumn colId="3" showButton="0"/>
  </autoFilter>
  <mergeCells count="5">
    <mergeCell ref="A56:E56"/>
    <mergeCell ref="A57:E57"/>
    <mergeCell ref="B4:B5"/>
    <mergeCell ref="A4:A5"/>
    <mergeCell ref="C4:S4"/>
  </mergeCells>
  <dataValidations count="1">
    <dataValidation type="list" allowBlank="1" showInputMessage="1" showErrorMessage="1" sqref="A57:E57">
      <formula1>lista_ind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controle</vt:lpstr>
      <vt:lpstr>dados</vt:lpstr>
      <vt:lpstr>dados_acumulados</vt:lpstr>
      <vt:lpstr>painel_industria</vt:lpstr>
      <vt:lpstr>indicadores_industriais</vt:lpstr>
      <vt:lpstr>lista_comercio</vt:lpstr>
      <vt:lpstr>lista_ind</vt:lpstr>
      <vt:lpstr>lista_serviços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Monteiro de Oliveira</dc:creator>
  <cp:lastModifiedBy>Alexandre Monteiro de Oliveira</cp:lastModifiedBy>
  <dcterms:created xsi:type="dcterms:W3CDTF">2019-09-30T17:40:22Z</dcterms:created>
  <dcterms:modified xsi:type="dcterms:W3CDTF">2020-02-17T17:08:37Z</dcterms:modified>
</cp:coreProperties>
</file>